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<sst xmlns="http://schemas.openxmlformats.org/spreadsheetml/2006/main" count="162" uniqueCount="113">
  <si>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</si>
  <si>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</si>
  <si>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</si>
  <si>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</si>
  <si>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</si>
  <si>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</si>
  <si>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</si>
  <si>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</si>
  <si>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</si>
  <si>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</si>
  <si>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</si>
  <si>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</si>
  <si>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</si>
  <si>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</si>
  <si>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</si>
  <si>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</si>
  <si>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</si>
  <si>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</si>
  <si>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</si>
  <si>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</si>
  <si>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</si>
  <si>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</si>
  <si>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</si>
  <si>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</si>
  <si>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</si>
  <si>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</si>
  <si>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</si>
  <si>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</si>
  <si>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</si>
  <si>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</si>
  <si>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</si>
  <si>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</si>
  <si>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</si>
  <si>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</si>
  <si>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</si>
  <si>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</si>
  <si>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</si>
  <si>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</si>
  <si>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</si>
  <si>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</si>
  <si>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</si>
  <si>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</si>
  <si>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</si>
  <si>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</si>
  <si>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</si>
  <si>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</si>
  <si>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</si>
  <si>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</si>
  <si>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</si>
  <si>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</si>
  <si>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</si>
  <si>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</si>
  <si>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</si>
  <si>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</si>
  <si>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</si>
  <si>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</si>
  <si>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</si>
  <si>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</si>
  <si>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</si>
  <si>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</si>
  <si>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</si>
  <si>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</si>
  <si>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</si>
  <si>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</si>
  <si>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</si>
  <si>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</si>
  <si>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</si>
  <si>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</si>
  <si>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</si>
  <si>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</si>
  <si>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</si>
  <si>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</si>
  <si>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</si>
  <si>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</si>
  <si>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</si>
  <si>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</si>
  <si>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</si>
  <si>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</si>
  <si>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</si>
  <si>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</si>
  <si>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</si>
  <si>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</si>
  <si>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</si>
  <si>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</si>
  <si>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</si>
  <si>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</si>
  <si>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</si>
  <si>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</si>
  <si>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</si>
  <si>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</si>
  <si>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</si>
  <si>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</si>
  <si>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</si>
  <si>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</si>
  <si>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</si>
  <si>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</si>
  <si>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</si>
  <si>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</si>
  <si>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</si>
  <si>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</si>
  <si>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</si>
  <si>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</si>
  <si>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</si>
  <si>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</si>
  <si>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</si>
  <si>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</si>
  <si>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</si>
  <si>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</si>
  <si>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</si>
  <si>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План на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</si>
  <si>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</si>
  <si>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</si>
  <si>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2016 рік станом на 07.11.2016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</si>
</sst>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36954639"/>
        <c:axId val="64156296"/>
      </c:bar3DChart>
      <c:catAx>
        <c:axId val="36954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156296"/>
        <c:crosses val="autoZero"/>
        <c:auto val="1"/>
        <c:lblOffset val="100"/>
        <c:tickLblSkip val="1"/>
        <c:noMultiLvlLbl val="0"/>
      </c:catAx>
      <c:valAx>
        <c:axId val="64156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546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40535753"/>
        <c:axId val="29277458"/>
      </c:bar3DChart>
      <c:catAx>
        <c:axId val="4053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277458"/>
        <c:crosses val="autoZero"/>
        <c:auto val="1"/>
        <c:lblOffset val="100"/>
        <c:tickLblSkip val="1"/>
        <c:noMultiLvlLbl val="0"/>
      </c:catAx>
      <c:valAx>
        <c:axId val="292774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357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62170531"/>
        <c:axId val="22663868"/>
      </c:bar3DChart>
      <c:catAx>
        <c:axId val="62170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663868"/>
        <c:crosses val="autoZero"/>
        <c:auto val="1"/>
        <c:lblOffset val="100"/>
        <c:tickLblSkip val="1"/>
        <c:noMultiLvlLbl val="0"/>
      </c:catAx>
      <c:valAx>
        <c:axId val="226638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705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49873.5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969.3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2648221"/>
        <c:axId val="23833990"/>
      </c:bar3DChart>
      <c:catAx>
        <c:axId val="2648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833990"/>
        <c:crosses val="autoZero"/>
        <c:auto val="1"/>
        <c:lblOffset val="100"/>
        <c:tickLblSkip val="1"/>
        <c:noMultiLvlLbl val="0"/>
      </c:catAx>
      <c:valAx>
        <c:axId val="238339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82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13179319"/>
        <c:axId val="51505008"/>
      </c:bar3DChart>
      <c:catAx>
        <c:axId val="13179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505008"/>
        <c:crosses val="autoZero"/>
        <c:auto val="1"/>
        <c:lblOffset val="100"/>
        <c:tickLblSkip val="2"/>
        <c:noMultiLvlLbl val="0"/>
      </c:catAx>
      <c:valAx>
        <c:axId val="51505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793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311.8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60891889"/>
        <c:axId val="11156090"/>
      </c:bar3DChart>
      <c:catAx>
        <c:axId val="60891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156090"/>
        <c:crosses val="autoZero"/>
        <c:auto val="1"/>
        <c:lblOffset val="100"/>
        <c:tickLblSkip val="1"/>
        <c:noMultiLvlLbl val="0"/>
      </c:catAx>
      <c:valAx>
        <c:axId val="11156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918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33295947"/>
        <c:axId val="31228068"/>
      </c:bar3DChart>
      <c:catAx>
        <c:axId val="33295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228068"/>
        <c:crosses val="autoZero"/>
        <c:auto val="1"/>
        <c:lblOffset val="100"/>
        <c:tickLblSkip val="1"/>
        <c:noMultiLvlLbl val="0"/>
      </c:catAx>
      <c:valAx>
        <c:axId val="312280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959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49873.5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12617157"/>
        <c:axId val="46445550"/>
      </c:bar3DChart>
      <c:catAx>
        <c:axId val="12617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445550"/>
        <c:crosses val="autoZero"/>
        <c:auto val="1"/>
        <c:lblOffset val="100"/>
        <c:tickLblSkip val="1"/>
        <c:noMultiLvlLbl val="0"/>
      </c:catAx>
      <c:valAx>
        <c:axId val="46445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171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31701.800000000003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730774.2000000001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15356767"/>
        <c:axId val="3993176"/>
      </c:bar3DChart>
      <c:catAx>
        <c:axId val="15356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93176"/>
        <c:crosses val="autoZero"/>
        <c:auto val="1"/>
        <c:lblOffset val="100"/>
        <c:tickLblSkip val="1"/>
        <c:noMultiLvlLbl val="0"/>
      </c:catAx>
      <c:valAx>
        <c:axId val="3993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567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5"/>
  <sheetViews>
    <sheetView tabSelected="1" zoomScale="80" zoomScaleNormal="80" zoomScalePageLayoutView="0" workbookViewId="0" topLeftCell="A1">
      <pane xSplit="1" ySplit="5" topLeftCell="B13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8" sqref="D148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8" t="s">
        <v>112</v>
      </c>
      <c r="B1" s="128"/>
      <c r="C1" s="128"/>
      <c r="D1" s="128"/>
      <c r="E1" s="128"/>
      <c r="F1" s="128"/>
      <c r="G1" s="128"/>
      <c r="H1" s="128"/>
      <c r="I1" s="128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2" t="s">
        <v>44</v>
      </c>
      <c r="B3" s="129" t="s">
        <v>109</v>
      </c>
      <c r="C3" s="129" t="s">
        <v>100</v>
      </c>
      <c r="D3" s="129" t="s">
        <v>23</v>
      </c>
      <c r="E3" s="129" t="s">
        <v>22</v>
      </c>
      <c r="F3" s="129" t="s">
        <v>110</v>
      </c>
      <c r="G3" s="129" t="s">
        <v>102</v>
      </c>
      <c r="H3" s="129" t="s">
        <v>111</v>
      </c>
      <c r="I3" s="129" t="s">
        <v>101</v>
      </c>
    </row>
    <row r="4" spans="1:9" ht="24.75" customHeight="1">
      <c r="A4" s="133"/>
      <c r="B4" s="130"/>
      <c r="C4" s="130"/>
      <c r="D4" s="130"/>
      <c r="E4" s="130"/>
      <c r="F4" s="130"/>
      <c r="G4" s="130"/>
      <c r="H4" s="130"/>
      <c r="I4" s="130"/>
    </row>
    <row r="5" spans="1:9" ht="39" customHeight="1" thickBot="1">
      <c r="A5" s="134"/>
      <c r="B5" s="131"/>
      <c r="C5" s="131"/>
      <c r="D5" s="131"/>
      <c r="E5" s="131"/>
      <c r="F5" s="131"/>
      <c r="G5" s="131"/>
      <c r="H5" s="131"/>
      <c r="I5" s="131"/>
    </row>
    <row r="6" spans="1:9" ht="18.75" thickBot="1">
      <c r="A6" s="22" t="s">
        <v>28</v>
      </c>
      <c r="B6" s="45">
        <f>406799.8+177</f>
        <v>406976.8</v>
      </c>
      <c r="C6" s="46">
        <f>426773.1+25+188.4+2200.9+6.1-1051.6+141.1+593.1+16568.5+4904.2+177</f>
        <v>450525.8</v>
      </c>
      <c r="D6" s="47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+9.1+287.1+12.3+824.9+3788.7+1076.6+5.7+22.2+199.3+0.6+56.5+345.6+74.2+5939.3+15.4+329.9+242.8+27.1+377.4+179.6+253.2+325.6+45.4+5613.3+450.2+4414.7+121+0.2+0.1+58.8+336.6+2.1+8.9+280+11704.8+125.6+58.7+382.5+147.7+519.1+967+6414+7849+734.9-0.1+489-43.6-0.1+131.4+895.9+137.6+11043.7+2.9+239.3+1315.8+278.4+2025.4+693.8+268.2+17968.9+60.5+5.3-0.4+36.7+2.9</f>
        <v>331589.40000000014</v>
      </c>
      <c r="E6" s="3">
        <f>D6/D150*100</f>
        <v>26.667782953337454</v>
      </c>
      <c r="F6" s="3">
        <f>D6/B6*100</f>
        <v>81.47624139754407</v>
      </c>
      <c r="G6" s="3">
        <f aca="true" t="shared" si="0" ref="G6:G43">D6/C6*100</f>
        <v>73.60053519687443</v>
      </c>
      <c r="H6" s="47">
        <f>B6-D6</f>
        <v>75387.39999999985</v>
      </c>
      <c r="I6" s="47">
        <f aca="true" t="shared" si="1" ref="I6:I43">C6-D6</f>
        <v>118936.39999999985</v>
      </c>
    </row>
    <row r="7" spans="1:9" s="37" customFormat="1" ht="18.75">
      <c r="A7" s="104" t="s">
        <v>87</v>
      </c>
      <c r="B7" s="97">
        <v>171592.7</v>
      </c>
      <c r="C7" s="94">
        <f>185717.4+2200.9+593.1-613.8</f>
        <v>187897.6</v>
      </c>
      <c r="D7" s="105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+70.2+1.2+45.4+5283.6+78.8+6.1+91.1+0.1+30.3+2.1+5762.1+58.7+48.7+155.4+6389+11.4+1.4-0.1+54.6+5818.7+239.3+186.1+5.5+5.7+7312.3+1+0.4+0.1</f>
        <v>143489.6</v>
      </c>
      <c r="E7" s="95">
        <f>D7/D6*100</f>
        <v>43.273277131295494</v>
      </c>
      <c r="F7" s="95">
        <f>D7/B7*100</f>
        <v>83.62220537353862</v>
      </c>
      <c r="G7" s="95">
        <f>D7/C7*100</f>
        <v>76.36585033550189</v>
      </c>
      <c r="H7" s="105">
        <f>B7-D7</f>
        <v>28103.100000000006</v>
      </c>
      <c r="I7" s="105">
        <f t="shared" si="1"/>
        <v>44408</v>
      </c>
    </row>
    <row r="8" spans="1:9" ht="18">
      <c r="A8" s="23" t="s">
        <v>3</v>
      </c>
      <c r="B8" s="42">
        <v>284150.9</v>
      </c>
      <c r="C8" s="43">
        <f>298081.6+593.1+13792.1</f>
        <v>312466.79999999993</v>
      </c>
      <c r="D8" s="44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+4306.4-0.2+58.8+8.9+11058.8+6387.9+7253.1-43.7-0.1+7.7+10883.1+8.3+17919.7</f>
        <v>256037.1999999999</v>
      </c>
      <c r="E8" s="1">
        <f>D8/D6*100</f>
        <v>77.21513413878725</v>
      </c>
      <c r="F8" s="1">
        <f>D8/B8*100</f>
        <v>90.1060668820686</v>
      </c>
      <c r="G8" s="1">
        <f t="shared" si="0"/>
        <v>81.94060937033949</v>
      </c>
      <c r="H8" s="44">
        <f>B8-D8</f>
        <v>28113.700000000128</v>
      </c>
      <c r="I8" s="44">
        <f t="shared" si="1"/>
        <v>56429.600000000035</v>
      </c>
    </row>
    <row r="9" spans="1:9" ht="18">
      <c r="A9" s="23" t="s">
        <v>2</v>
      </c>
      <c r="B9" s="42">
        <v>82.4</v>
      </c>
      <c r="C9" s="43">
        <v>85.7</v>
      </c>
      <c r="D9" s="44">
        <f>4+2.9+1.6+0.5+0.5+1.9+1.2+1.8+1.6+0.7+2+3.7+0.1+1.9+2.9+1.2+0.4+1.1+0.2+0.6+1.5+1.7+0.3+0.5+1.3-0.1+0.4+0.3+1.5+2.7+0.5+2.5+7.6+1</f>
        <v>52.49999999999999</v>
      </c>
      <c r="E9" s="12">
        <f>D9/D6*100</f>
        <v>0.015832834222083085</v>
      </c>
      <c r="F9" s="120">
        <f>D9/B9*100</f>
        <v>63.7135922330097</v>
      </c>
      <c r="G9" s="1">
        <f t="shared" si="0"/>
        <v>61.26021003500583</v>
      </c>
      <c r="H9" s="44">
        <f aca="true" t="shared" si="2" ref="H9:H43">B9-D9</f>
        <v>29.900000000000013</v>
      </c>
      <c r="I9" s="44">
        <f t="shared" si="1"/>
        <v>33.20000000000001</v>
      </c>
    </row>
    <row r="10" spans="1:9" ht="18">
      <c r="A10" s="23" t="s">
        <v>1</v>
      </c>
      <c r="B10" s="42">
        <v>29629.8</v>
      </c>
      <c r="C10" s="43">
        <f>28052.9-28-1051.6+141.1+4575.2</f>
        <v>31689.600000000002</v>
      </c>
      <c r="D10" s="48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+255+84.2+424+114.7+287.8+35.2+180.6+4.9+180.1+666.9+489.9+637.5+6.7+100.8+14.8+555.4+278.4+619.6+549.6+169.5+46.7+56.8+3.8-0.9+36.7+2.9</f>
        <v>21276.10000000001</v>
      </c>
      <c r="E10" s="1">
        <f>D10/D6*100</f>
        <v>6.41639931795166</v>
      </c>
      <c r="F10" s="1">
        <f aca="true" t="shared" si="3" ref="F10:F41">D10/B10*100</f>
        <v>71.80642461305851</v>
      </c>
      <c r="G10" s="1">
        <f t="shared" si="0"/>
        <v>67.13906139553674</v>
      </c>
      <c r="H10" s="44">
        <f t="shared" si="2"/>
        <v>8353.69999999999</v>
      </c>
      <c r="I10" s="44">
        <f t="shared" si="1"/>
        <v>10413.499999999993</v>
      </c>
    </row>
    <row r="11" spans="1:9" ht="18">
      <c r="A11" s="23" t="s">
        <v>0</v>
      </c>
      <c r="B11" s="42">
        <v>64199.2</v>
      </c>
      <c r="C11" s="43">
        <f>71654.8+3326</f>
        <v>74980.8</v>
      </c>
      <c r="D11" s="49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+2.2+28+38.6+83.7+3.3+35.7+338.5+131.2+11.3+33.4+3.7+52+231+36.6+1.5+156.4+221.8+673.5+1.7+0.7+0.5</f>
        <v>33950.3</v>
      </c>
      <c r="E11" s="1">
        <f>D11/D6*100</f>
        <v>10.238656603618809</v>
      </c>
      <c r="F11" s="1">
        <f t="shared" si="3"/>
        <v>52.8827462024449</v>
      </c>
      <c r="G11" s="1">
        <f t="shared" si="0"/>
        <v>45.27865800311547</v>
      </c>
      <c r="H11" s="44">
        <f t="shared" si="2"/>
        <v>30248.899999999994</v>
      </c>
      <c r="I11" s="44">
        <f t="shared" si="1"/>
        <v>41030.5</v>
      </c>
    </row>
    <row r="12" spans="1:9" ht="18">
      <c r="A12" s="23" t="s">
        <v>14</v>
      </c>
      <c r="B12" s="42">
        <v>13330.4</v>
      </c>
      <c r="C12" s="43">
        <f>14712+28</f>
        <v>14740</v>
      </c>
      <c r="D12" s="44">
        <f>5+12.7+3.8+1250.6+160.8+241+218.1+277.6+20.3+413.8+8.3+240.5+24.8+2.5+338+212.8+1.2+3.8+19.1+319.6+33.1+186+278+233.1+1.2+181.4+178.6+208.7+296.2+195.1+36.2+3.8+12.7+114.5+331.8+187.3+241.1+252+65.5+0.1+9.1+67.9+257.1+135.7+183.8+52.2+8.7+103.4+132.8+254.3+130.9+17.4+13.1+1.8+8.3+691.5+342.5+33.6-0.1+5.4+349.9+499+136.9+32.5+0.1</f>
        <v>10278.5</v>
      </c>
      <c r="E12" s="1">
        <f>D12/D6*100</f>
        <v>3.099767362889162</v>
      </c>
      <c r="F12" s="1">
        <f t="shared" si="3"/>
        <v>77.10571325691652</v>
      </c>
      <c r="G12" s="1">
        <f t="shared" si="0"/>
        <v>69.73202170963366</v>
      </c>
      <c r="H12" s="44">
        <f t="shared" si="2"/>
        <v>3051.8999999999996</v>
      </c>
      <c r="I12" s="44">
        <f t="shared" si="1"/>
        <v>4461.5</v>
      </c>
    </row>
    <row r="13" spans="1:9" ht="18.75" thickBot="1">
      <c r="A13" s="23" t="s">
        <v>29</v>
      </c>
      <c r="B13" s="43">
        <f>B6-B8-B9-B10-B11-B12</f>
        <v>15584.099999999971</v>
      </c>
      <c r="C13" s="43">
        <f>C6-C8-C9-C10-C11-C12</f>
        <v>16562.900000000038</v>
      </c>
      <c r="D13" s="43">
        <f>D6-D8-D9-D10-D11-D12</f>
        <v>9994.800000000236</v>
      </c>
      <c r="E13" s="1">
        <f>D13/D6*100</f>
        <v>3.014209742531043</v>
      </c>
      <c r="F13" s="1">
        <f t="shared" si="3"/>
        <v>64.13459872562582</v>
      </c>
      <c r="G13" s="1">
        <f t="shared" si="0"/>
        <v>60.34450488743042</v>
      </c>
      <c r="H13" s="44">
        <f t="shared" si="2"/>
        <v>5589.2999999997355</v>
      </c>
      <c r="I13" s="44">
        <f t="shared" si="1"/>
        <v>6568.099999999802</v>
      </c>
    </row>
    <row r="14" spans="1:9" s="37" customFormat="1" ht="18.75" customHeight="1" hidden="1">
      <c r="A14" s="96" t="s">
        <v>67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64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65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66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v>238549.9</v>
      </c>
      <c r="C18" s="46">
        <f>250434.1+666.5+2890.8+76.6+110+6034+513.1+12.9</f>
        <v>260738</v>
      </c>
      <c r="D18" s="47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+13+2.3+0.2+1.2+138+156.5+0.9+1007.9+6309.6+1.9+11.6+1274.5+3.3+9.8+9135+1038+13.4+179.9+6951.5+215+299.4+5+52.8+6881.4+4006.9+52.5+0.7+0.1+106</f>
        <v>201291.49999999997</v>
      </c>
      <c r="E18" s="3">
        <f>D18/D150*100</f>
        <v>16.1886900858463</v>
      </c>
      <c r="F18" s="3">
        <f>D18/B18*100</f>
        <v>84.3812971625643</v>
      </c>
      <c r="G18" s="3">
        <f t="shared" si="0"/>
        <v>77.20067654120227</v>
      </c>
      <c r="H18" s="47">
        <f>B18-D18</f>
        <v>37258.40000000002</v>
      </c>
      <c r="I18" s="47">
        <f t="shared" si="1"/>
        <v>59446.50000000003</v>
      </c>
    </row>
    <row r="19" spans="1:9" s="37" customFormat="1" ht="18.75">
      <c r="A19" s="104" t="s">
        <v>88</v>
      </c>
      <c r="B19" s="97">
        <v>173936.1</v>
      </c>
      <c r="C19" s="94">
        <f>188049.2+2890.8+579.6+12.9</f>
        <v>191532.5</v>
      </c>
      <c r="D19" s="105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+4.4-0.1+130.4+0.7+0.5+822.9+6309.6+1.9+11.6+827.6+3.3+8+6151.8+130.2+5.6+179.9+6951.5+3.3+299.4+5+6881.4+9.8+11.6+0.5-2.3+106</f>
        <v>148446.69999999995</v>
      </c>
      <c r="E19" s="95">
        <f>D19/D18*100</f>
        <v>73.74712792144724</v>
      </c>
      <c r="F19" s="95">
        <f t="shared" si="3"/>
        <v>85.3455378153241</v>
      </c>
      <c r="G19" s="95">
        <f t="shared" si="0"/>
        <v>77.50470546774044</v>
      </c>
      <c r="H19" s="105">
        <f t="shared" si="2"/>
        <v>25489.400000000052</v>
      </c>
      <c r="I19" s="105">
        <f t="shared" si="1"/>
        <v>43085.80000000005</v>
      </c>
    </row>
    <row r="20" spans="1:9" ht="18">
      <c r="A20" s="23" t="s">
        <v>5</v>
      </c>
      <c r="B20" s="42">
        <v>174067.6</v>
      </c>
      <c r="C20" s="43">
        <f>186641.3+2944.5</f>
        <v>189585.8</v>
      </c>
      <c r="D20" s="44">
        <f>5722.2+1+8655.9+32.9+2.4+5725.7+8251+357.7+0.1+5829.5+27.9+3957+4812.9+26.7+6036.7+16.8+6839+2416.2+22.3+6209+10229+319.3+6468+9728.3+1605.6+3790.5+3239.9+10406.4+0.1+6965.8+3+5278.9+3995.6+0.1+6242.7+6151.8+883.1+1990.1+6252.1+3.3+5936.1+3370.3</f>
        <v>157802.9</v>
      </c>
      <c r="E20" s="1">
        <f>D20/D18*100</f>
        <v>78.39521291261678</v>
      </c>
      <c r="F20" s="1">
        <f t="shared" si="3"/>
        <v>90.65610142266567</v>
      </c>
      <c r="G20" s="1">
        <f t="shared" si="0"/>
        <v>83.23561152786759</v>
      </c>
      <c r="H20" s="44">
        <f t="shared" si="2"/>
        <v>16264.700000000012</v>
      </c>
      <c r="I20" s="44">
        <f t="shared" si="1"/>
        <v>31782.899999999994</v>
      </c>
    </row>
    <row r="21" spans="1:9" ht="18">
      <c r="A21" s="23" t="s">
        <v>2</v>
      </c>
      <c r="B21" s="42">
        <v>21236.8</v>
      </c>
      <c r="C21" s="43">
        <f>20454.1+500+110+1045.6+41</f>
        <v>22150.699999999997</v>
      </c>
      <c r="D21" s="44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+6.3+2.3+15.7+121+473.1+421.2+265.3+662.7+47.1+1+217+189.1+64.2+52.8+268.3+247.3+5.2+0.1</f>
        <v>17496.299999999996</v>
      </c>
      <c r="E21" s="1">
        <f>D21/D18*100</f>
        <v>8.692021272631978</v>
      </c>
      <c r="F21" s="1">
        <f t="shared" si="3"/>
        <v>82.38670609508021</v>
      </c>
      <c r="G21" s="1">
        <f t="shared" si="0"/>
        <v>78.9875714988691</v>
      </c>
      <c r="H21" s="44">
        <f t="shared" si="2"/>
        <v>3740.5000000000036</v>
      </c>
      <c r="I21" s="44">
        <f t="shared" si="1"/>
        <v>4654.4000000000015</v>
      </c>
    </row>
    <row r="22" spans="1:9" ht="18">
      <c r="A22" s="23" t="s">
        <v>1</v>
      </c>
      <c r="B22" s="42">
        <v>4140</v>
      </c>
      <c r="C22" s="43">
        <f>3917.9+592.8</f>
        <v>4510.7</v>
      </c>
      <c r="D22" s="44">
        <f>127.7+23.6+33.5+86.7+19.5+2.9+68.3+78.1+10.6+165.4+2.5+15.8+6.5+60.2+104.3+141.7+2.3+23.7+90.2+22.1+28.3+93.7+27.2-0.1+0.2+54.7+9.9+37.6+110.2+182.3+0.1+39.2+35.9+64.9+14.2+28+147.6+14.5+0.1+67.9+38.7+142.7+29+23+176.1+16.8+117.5+127.9+4.9+25.4+0.3+70.1+52.4+60.2+167.6+9.3+4.7+70.1+97.5+141.1+197.6+16</f>
        <v>3630.9</v>
      </c>
      <c r="E22" s="1">
        <f>D22/D18*100</f>
        <v>1.8038019489148824</v>
      </c>
      <c r="F22" s="1">
        <f t="shared" si="3"/>
        <v>87.70289855072464</v>
      </c>
      <c r="G22" s="1">
        <f t="shared" si="0"/>
        <v>80.49526681002949</v>
      </c>
      <c r="H22" s="44">
        <f t="shared" si="2"/>
        <v>509.0999999999999</v>
      </c>
      <c r="I22" s="44">
        <f t="shared" si="1"/>
        <v>879.7999999999997</v>
      </c>
    </row>
    <row r="23" spans="1:9" ht="18">
      <c r="A23" s="23" t="s">
        <v>0</v>
      </c>
      <c r="B23" s="42">
        <v>24861.4</v>
      </c>
      <c r="C23" s="43">
        <f>27804.4+1919</f>
        <v>29723.4</v>
      </c>
      <c r="D23" s="44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+1.8+67.4+0.3+313.9+1.4+11.6+353.8+1.3+9.8+40+0.6+7.8-7.8+18.1+333.9+6.4+365.2+149.9+2.3+84.7</f>
        <v>16137.599999999995</v>
      </c>
      <c r="E23" s="1">
        <f>D23/D18*100</f>
        <v>8.017030028590376</v>
      </c>
      <c r="F23" s="1">
        <f t="shared" si="3"/>
        <v>64.91026249527377</v>
      </c>
      <c r="G23" s="1">
        <f t="shared" si="0"/>
        <v>54.292577565150665</v>
      </c>
      <c r="H23" s="44">
        <f t="shared" si="2"/>
        <v>8723.800000000007</v>
      </c>
      <c r="I23" s="44">
        <f t="shared" si="1"/>
        <v>13585.800000000007</v>
      </c>
    </row>
    <row r="24" spans="1:9" ht="18">
      <c r="A24" s="23" t="s">
        <v>14</v>
      </c>
      <c r="B24" s="42">
        <v>1506</v>
      </c>
      <c r="C24" s="43">
        <f>1591.6+29.5</f>
        <v>1621.1</v>
      </c>
      <c r="D24" s="44">
        <f>73.6+22.6+5.3+2.4+2.5+128.1+0.1+11.5+121.2+11.2-0.1+27.3+71.1+31.4-0.1+0.8+24.6+83.5+19.6+26.5+24.2+67.9+2.3+4+48.1+8.9+75.1+2+0.1+126.5+0.8+36.4+6.5+68.6+1.9+11.7+18.6+90+2.2+13.7</f>
        <v>1272.6</v>
      </c>
      <c r="E24" s="1">
        <f>D24/D18*100</f>
        <v>0.6322174557793052</v>
      </c>
      <c r="F24" s="1">
        <f t="shared" si="3"/>
        <v>84.5019920318725</v>
      </c>
      <c r="G24" s="1">
        <f t="shared" si="0"/>
        <v>78.50225155758436</v>
      </c>
      <c r="H24" s="44">
        <f t="shared" si="2"/>
        <v>233.4000000000001</v>
      </c>
      <c r="I24" s="44">
        <f t="shared" si="1"/>
        <v>348.5</v>
      </c>
    </row>
    <row r="25" spans="1:9" ht="18.75" thickBot="1">
      <c r="A25" s="23" t="s">
        <v>29</v>
      </c>
      <c r="B25" s="43">
        <f>B18-B20-B21-B22-B23-B24</f>
        <v>12738.099999999984</v>
      </c>
      <c r="C25" s="43">
        <f>C18-C20-C21-C22-C23-C24</f>
        <v>13146.300000000016</v>
      </c>
      <c r="D25" s="43">
        <f>D18-D20-D21-D22-D23-D24</f>
        <v>4951.199999999984</v>
      </c>
      <c r="E25" s="1">
        <f>D25/D18*100</f>
        <v>2.4597163814666714</v>
      </c>
      <c r="F25" s="1">
        <f t="shared" si="3"/>
        <v>38.86921911431054</v>
      </c>
      <c r="G25" s="1">
        <f t="shared" si="0"/>
        <v>37.662308025832196</v>
      </c>
      <c r="H25" s="44">
        <f t="shared" si="2"/>
        <v>7786.9</v>
      </c>
      <c r="I25" s="44">
        <f t="shared" si="1"/>
        <v>8195.100000000031</v>
      </c>
    </row>
    <row r="26" spans="1:9" ht="57" hidden="1" thickBot="1">
      <c r="A26" s="96" t="s">
        <v>75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76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77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78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79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80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81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45284.5</v>
      </c>
      <c r="C33" s="46">
        <f>50266.1+19.2-3069.6+1137.5+1480.3+40-40+150</f>
        <v>49983.5</v>
      </c>
      <c r="D33" s="50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+0.2+58.6+205.7+61.8+0.5+21.5+0.1+1406.8+8.9+79.1+1.7+60.6+3.3+48.7+268.9+1582+26.6+38-76+120.9+152.8+6.6+6+1422.9+3.8+0.2+60.7+4.5+56.1+22.2+23.9+19.9+0.3+1776.6+10.6+0.3+13.6+170+1.2</f>
        <v>38978.899999999994</v>
      </c>
      <c r="E33" s="3">
        <f>D33/D150*100</f>
        <v>3.1348434086247776</v>
      </c>
      <c r="F33" s="3">
        <f>D33/B33*100</f>
        <v>86.07558877761706</v>
      </c>
      <c r="G33" s="3">
        <f t="shared" si="0"/>
        <v>77.9835345664069</v>
      </c>
      <c r="H33" s="47">
        <f t="shared" si="2"/>
        <v>6305.600000000006</v>
      </c>
      <c r="I33" s="47">
        <f t="shared" si="1"/>
        <v>11004.600000000006</v>
      </c>
    </row>
    <row r="34" spans="1:9" ht="18">
      <c r="A34" s="23" t="s">
        <v>3</v>
      </c>
      <c r="B34" s="42">
        <v>32914</v>
      </c>
      <c r="C34" s="43">
        <f>35016.6+195.2+1137.5</f>
        <v>36349.299999999996</v>
      </c>
      <c r="D34" s="44">
        <f>1335+1268.2+1354.9+1304.2+1357+1359.6+1365.6+1342.2+1381.4+3.9+1624.5+11.9+0.1+10+3950.5+2820.4+0.1+74+93.6+20+430.6+329.1+0.1+119.6+19.5+358.3+39+1137.3+0.1+58.6+10+1391+48.8+259.9+1234.6+4.8+1421.2+1707.9+0.3</f>
        <v>29247.79999999999</v>
      </c>
      <c r="E34" s="1">
        <f>D34/D33*100</f>
        <v>75.03495480888375</v>
      </c>
      <c r="F34" s="1">
        <f t="shared" si="3"/>
        <v>88.86127483745516</v>
      </c>
      <c r="G34" s="1">
        <f t="shared" si="0"/>
        <v>80.46317260579981</v>
      </c>
      <c r="H34" s="44">
        <f t="shared" si="2"/>
        <v>3666.2000000000116</v>
      </c>
      <c r="I34" s="44">
        <f t="shared" si="1"/>
        <v>7101.500000000007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2769.6</v>
      </c>
      <c r="C36" s="43">
        <v>3384.4</v>
      </c>
      <c r="D36" s="44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+2.2+3.8+2.7+1.2+9+4.1+1.8+0.3+0.2+5.6+0.9+0.7+0.3+11.3+12+0.3+0.7+3.1+13.6+22.8</f>
        <v>1361.8999999999992</v>
      </c>
      <c r="E36" s="1">
        <f>D36/D33*100</f>
        <v>3.4939415940419027</v>
      </c>
      <c r="F36" s="1">
        <f t="shared" si="3"/>
        <v>49.17316580011551</v>
      </c>
      <c r="G36" s="1">
        <f t="shared" si="0"/>
        <v>40.240515305519416</v>
      </c>
      <c r="H36" s="44">
        <f t="shared" si="2"/>
        <v>1407.7000000000007</v>
      </c>
      <c r="I36" s="44">
        <f t="shared" si="1"/>
        <v>2022.500000000001</v>
      </c>
    </row>
    <row r="37" spans="1:9" s="37" customFormat="1" ht="18.75">
      <c r="A37" s="18" t="s">
        <v>7</v>
      </c>
      <c r="B37" s="51">
        <v>915.3</v>
      </c>
      <c r="C37" s="52">
        <f>929.3+40-40</f>
        <v>929.3</v>
      </c>
      <c r="D37" s="53">
        <f>11.2+19.5+15.2+5+5.7-0.1+1.9+5.1+7+0.3+7.7+25.8+82+15.4+14.3+13.2+14.4+42.6+0.1+37.6+3+2.6+0.8+1.6+3.9+98.6+0.5+15.5+1.7+3.3+166.5+5.9+37.9+118.4+6.4+2.7+15.3+30.5+7.5+1.2</f>
        <v>847.7</v>
      </c>
      <c r="E37" s="17">
        <f>D37/D33*100</f>
        <v>2.1747663479472235</v>
      </c>
      <c r="F37" s="17">
        <f t="shared" si="3"/>
        <v>92.61444335190649</v>
      </c>
      <c r="G37" s="17">
        <f t="shared" si="0"/>
        <v>91.21919724523836</v>
      </c>
      <c r="H37" s="53">
        <f t="shared" si="2"/>
        <v>67.59999999999991</v>
      </c>
      <c r="I37" s="53">
        <f t="shared" si="1"/>
        <v>81.59999999999991</v>
      </c>
    </row>
    <row r="38" spans="1:9" ht="18">
      <c r="A38" s="23" t="s">
        <v>14</v>
      </c>
      <c r="B38" s="42">
        <v>55.7</v>
      </c>
      <c r="C38" s="43">
        <v>60.8</v>
      </c>
      <c r="D38" s="43">
        <f>5.1+5.1+5.1+5.1+5.1+4.8</f>
        <v>30.3</v>
      </c>
      <c r="E38" s="1">
        <f>D38/D33*100</f>
        <v>0.07773436397640776</v>
      </c>
      <c r="F38" s="1">
        <f t="shared" si="3"/>
        <v>54.39856373429084</v>
      </c>
      <c r="G38" s="1">
        <f t="shared" si="0"/>
        <v>49.83552631578947</v>
      </c>
      <c r="H38" s="44">
        <f t="shared" si="2"/>
        <v>25.400000000000002</v>
      </c>
      <c r="I38" s="44">
        <f t="shared" si="1"/>
        <v>30.499999999999996</v>
      </c>
    </row>
    <row r="39" spans="1:9" ht="18.75" thickBot="1">
      <c r="A39" s="23" t="s">
        <v>29</v>
      </c>
      <c r="B39" s="42">
        <f>B33-B34-B36-B37-B35-B38</f>
        <v>8629.9</v>
      </c>
      <c r="C39" s="42">
        <f>C33-C34-C36-C37-C35-C38</f>
        <v>9259.700000000006</v>
      </c>
      <c r="D39" s="42">
        <f>D33-D34-D36-D37-D35-D38</f>
        <v>7491.200000000006</v>
      </c>
      <c r="E39" s="1">
        <f>D39/D33*100</f>
        <v>19.218602885150705</v>
      </c>
      <c r="F39" s="1">
        <f t="shared" si="3"/>
        <v>86.80517734852091</v>
      </c>
      <c r="G39" s="1">
        <f t="shared" si="0"/>
        <v>80.90110910720651</v>
      </c>
      <c r="H39" s="44">
        <f>B39-D39</f>
        <v>1138.6999999999935</v>
      </c>
      <c r="I39" s="44">
        <f t="shared" si="1"/>
        <v>1768.5</v>
      </c>
    </row>
    <row r="40" spans="1:9" ht="19.5" hidden="1" thickBot="1">
      <c r="A40" s="96" t="s">
        <v>72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73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74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1317.2</v>
      </c>
      <c r="C43" s="46">
        <f>829.5+61+9+3+3+433+103</f>
        <v>1441.5</v>
      </c>
      <c r="D43" s="47">
        <f>22.2+3+5+12.1+5.3+62.1+8.7+22.7+11.7+44.1-0.1+8.7+8.3+9+2+12.1+30.9+11+14.3+28.5+0.1+1.2+34+0.6+0.1+2.3+3+1.5+17.9+19.5+82.4-0.1+0.8+8.4+18.6+22.3+0.1+13.7+8+9.3+10.6+0.7+8+22.7+7+24+0.8+46.6-0.1+44.2+12+12.3+28.6+7.7+3+7.3+6.3+20.4+6+23.8+26.5+12+34.6+25+3.3</f>
        <v>958.6</v>
      </c>
      <c r="E43" s="3">
        <f>D43/D150*100</f>
        <v>0.07709455350222075</v>
      </c>
      <c r="F43" s="3">
        <f>D43/B43*100</f>
        <v>72.77558457333738</v>
      </c>
      <c r="G43" s="3">
        <f t="shared" si="0"/>
        <v>66.5001734304544</v>
      </c>
      <c r="H43" s="47">
        <f t="shared" si="2"/>
        <v>358.6</v>
      </c>
      <c r="I43" s="47">
        <f t="shared" si="1"/>
        <v>482.9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48</v>
      </c>
      <c r="B45" s="45">
        <v>7026.5</v>
      </c>
      <c r="C45" s="46">
        <f>7741.6+45.3</f>
        <v>7786.900000000001</v>
      </c>
      <c r="D45" s="47">
        <f>224.1+260.8+14.4+236.4+3.2+114.6+291.3+0.1+96+241.4+13.4+0.1+331+0.7-0.1+39.8+268.9+0.5+9.3+307.6+278.3+1.8+5.2+302.3+9.3+4.6+275.3+25.3+352.3+6.4+0.1+14.8+50.6+5.2+267.1+7.9+293.7+39+18+185.4+5.5+5.1+343.4-0.1+16.4+242.5+9.9+311.7+242+0.2+6.6+3.4+1+383.3</f>
        <v>6166.999999999999</v>
      </c>
      <c r="E45" s="3">
        <f>D45/D150*100</f>
        <v>0.4959754970250315</v>
      </c>
      <c r="F45" s="3">
        <f>D45/B45*100</f>
        <v>87.76773642638581</v>
      </c>
      <c r="G45" s="3">
        <f aca="true" t="shared" si="4" ref="G45:G76">D45/C45*100</f>
        <v>79.19711310020674</v>
      </c>
      <c r="H45" s="47">
        <f>B45-D45</f>
        <v>859.5000000000009</v>
      </c>
      <c r="I45" s="47">
        <f aca="true" t="shared" si="5" ref="I45:I77">C45-D45</f>
        <v>1619.9000000000015</v>
      </c>
    </row>
    <row r="46" spans="1:9" ht="18">
      <c r="A46" s="23" t="s">
        <v>3</v>
      </c>
      <c r="B46" s="42">
        <v>6177.3</v>
      </c>
      <c r="C46" s="43">
        <v>6753.6</v>
      </c>
      <c r="D46" s="44">
        <f>224.1+258.6+235.3+288.8+241.4+328.6+224.6+306.6+239.4+298.3+269.8+13.5+346.9+45.8+263.2+291.7-0.1+38.6+180.3+343.4+215.2+305.6+213.9+383.3+0.1</f>
        <v>5556.900000000001</v>
      </c>
      <c r="E46" s="1">
        <f>D46/D45*100</f>
        <v>90.10702124209504</v>
      </c>
      <c r="F46" s="1">
        <f aca="true" t="shared" si="6" ref="F46:F74">D46/B46*100</f>
        <v>89.9567772327716</v>
      </c>
      <c r="G46" s="1">
        <f t="shared" si="4"/>
        <v>82.28056147832268</v>
      </c>
      <c r="H46" s="44">
        <f aca="true" t="shared" si="7" ref="H46:H74">B46-D46</f>
        <v>620.3999999999996</v>
      </c>
      <c r="I46" s="44">
        <f t="shared" si="5"/>
        <v>1196.6999999999998</v>
      </c>
    </row>
    <row r="47" spans="1:9" ht="18">
      <c r="A47" s="23" t="s">
        <v>2</v>
      </c>
      <c r="B47" s="42">
        <v>1.3</v>
      </c>
      <c r="C47" s="43">
        <v>1.3</v>
      </c>
      <c r="D47" s="44">
        <f>0.3+0.4+0.1+0.3</f>
        <v>1.0999999999999999</v>
      </c>
      <c r="E47" s="1">
        <f>D47/D45*100</f>
        <v>0.01783687368250365</v>
      </c>
      <c r="F47" s="1">
        <f t="shared" si="6"/>
        <v>84.6153846153846</v>
      </c>
      <c r="G47" s="1">
        <f t="shared" si="4"/>
        <v>84.6153846153846</v>
      </c>
      <c r="H47" s="44">
        <f t="shared" si="7"/>
        <v>0.20000000000000018</v>
      </c>
      <c r="I47" s="44">
        <f t="shared" si="5"/>
        <v>0.20000000000000018</v>
      </c>
    </row>
    <row r="48" spans="1:9" ht="18">
      <c r="A48" s="23" t="s">
        <v>1</v>
      </c>
      <c r="B48" s="42">
        <v>56.4</v>
      </c>
      <c r="C48" s="43">
        <v>70.7</v>
      </c>
      <c r="D48" s="44">
        <f>0.2+2.1+0.1+6.5+6.7-0.1+7+4.6+1.6+2+4.6+6.4-0.1</f>
        <v>41.6</v>
      </c>
      <c r="E48" s="1">
        <f>D48/D45*100</f>
        <v>0.6745581319928653</v>
      </c>
      <c r="F48" s="1">
        <f t="shared" si="6"/>
        <v>73.75886524822695</v>
      </c>
      <c r="G48" s="1">
        <f t="shared" si="4"/>
        <v>58.84016973125884</v>
      </c>
      <c r="H48" s="44">
        <f t="shared" si="7"/>
        <v>14.799999999999997</v>
      </c>
      <c r="I48" s="44">
        <f t="shared" si="5"/>
        <v>29.1</v>
      </c>
    </row>
    <row r="49" spans="1:9" ht="18">
      <c r="A49" s="23" t="s">
        <v>0</v>
      </c>
      <c r="B49" s="42">
        <v>470.1</v>
      </c>
      <c r="C49" s="43">
        <f>568.5+40.5</f>
        <v>609</v>
      </c>
      <c r="D49" s="44">
        <f>2.2+2.5+0.8+112.4+2.2+0.1+69.1+4.4-0.1+35.2+27.4+4.8+1+22.3+2.5+1.6+0.6+4.2-0.1+0.5+5.1+0.3+0.5+1.6+0.3+1.5+1.7+0.6+5.1</f>
        <v>310.3000000000001</v>
      </c>
      <c r="E49" s="1">
        <f>D49/D45*100</f>
        <v>5.0316199124371686</v>
      </c>
      <c r="F49" s="1">
        <f t="shared" si="6"/>
        <v>66.00723250372263</v>
      </c>
      <c r="G49" s="1">
        <f t="shared" si="4"/>
        <v>50.95238095238097</v>
      </c>
      <c r="H49" s="44">
        <f t="shared" si="7"/>
        <v>159.7999999999999</v>
      </c>
      <c r="I49" s="44">
        <f t="shared" si="5"/>
        <v>298.6999999999999</v>
      </c>
    </row>
    <row r="50" spans="1:9" ht="18.75" thickBot="1">
      <c r="A50" s="23" t="s">
        <v>29</v>
      </c>
      <c r="B50" s="43">
        <f>B45-B46-B49-B48-B47</f>
        <v>321.3999999999998</v>
      </c>
      <c r="C50" s="43">
        <f>C45-C46-C49-C48-C47</f>
        <v>352.3000000000002</v>
      </c>
      <c r="D50" s="43">
        <f>D45-D46-D49-D48-D47</f>
        <v>257.0999999999984</v>
      </c>
      <c r="E50" s="1">
        <f>D50/D45*100</f>
        <v>4.1689638397924185</v>
      </c>
      <c r="F50" s="1">
        <f t="shared" si="6"/>
        <v>79.99377722464173</v>
      </c>
      <c r="G50" s="1">
        <f t="shared" si="4"/>
        <v>72.97757592960495</v>
      </c>
      <c r="H50" s="44">
        <f t="shared" si="7"/>
        <v>64.30000000000143</v>
      </c>
      <c r="I50" s="44">
        <f t="shared" si="5"/>
        <v>95.20000000000181</v>
      </c>
    </row>
    <row r="51" spans="1:9" ht="18.75" thickBot="1">
      <c r="A51" s="22" t="s">
        <v>4</v>
      </c>
      <c r="B51" s="45">
        <f>15003.4+380</f>
        <v>15383.4</v>
      </c>
      <c r="C51" s="46">
        <f>16075.7+36.8+200+828.6-580+380</f>
        <v>16941.1</v>
      </c>
      <c r="D51" s="47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+426.2-0.1+3.9+0.6+340.5+72.9+24.9+19.4+12.8+603.4+6.8+0.4+39+2+396.8+40+53.9+27.4+23.9+106.1+676.8-0.1</f>
        <v>12036.09999999999</v>
      </c>
      <c r="E51" s="3">
        <f>D51/D150*100</f>
        <v>0.9679926511663658</v>
      </c>
      <c r="F51" s="3">
        <f>D51/B51*100</f>
        <v>78.24083102565096</v>
      </c>
      <c r="G51" s="3">
        <f t="shared" si="4"/>
        <v>71.04674430822078</v>
      </c>
      <c r="H51" s="47">
        <f>B51-D51</f>
        <v>3347.30000000001</v>
      </c>
      <c r="I51" s="47">
        <f t="shared" si="5"/>
        <v>4905.000000000009</v>
      </c>
    </row>
    <row r="52" spans="1:9" ht="18">
      <c r="A52" s="23" t="s">
        <v>3</v>
      </c>
      <c r="B52" s="42">
        <v>9315.8</v>
      </c>
      <c r="C52" s="43">
        <v>10328.7</v>
      </c>
      <c r="D52" s="44">
        <f>8+294.9+437.7+298.5+423.7+297.9+451.2+294.5+446+301+554.2+412+820.4+487.4+393.4+0.1+169.4+354.3-0.1+300.5+8.5+507.2+314.4+656.2</f>
        <v>8231.299999999997</v>
      </c>
      <c r="E52" s="1">
        <f>D52/D51*100</f>
        <v>68.38843146866513</v>
      </c>
      <c r="F52" s="1">
        <f t="shared" si="6"/>
        <v>88.35848773052231</v>
      </c>
      <c r="G52" s="1">
        <f t="shared" si="4"/>
        <v>79.6934754615779</v>
      </c>
      <c r="H52" s="44">
        <f t="shared" si="7"/>
        <v>1084.5000000000018</v>
      </c>
      <c r="I52" s="44">
        <f t="shared" si="5"/>
        <v>2097.4000000000033</v>
      </c>
    </row>
    <row r="53" spans="1:9" ht="18">
      <c r="A53" s="23" t="s">
        <v>2</v>
      </c>
      <c r="B53" s="42">
        <v>9</v>
      </c>
      <c r="C53" s="43">
        <v>12</v>
      </c>
      <c r="D53" s="44"/>
      <c r="E53" s="1">
        <f>D53/D51*100</f>
        <v>0</v>
      </c>
      <c r="F53" s="1">
        <f>D53/B53*100</f>
        <v>0</v>
      </c>
      <c r="G53" s="1">
        <f t="shared" si="4"/>
        <v>0</v>
      </c>
      <c r="H53" s="44">
        <f t="shared" si="7"/>
        <v>9</v>
      </c>
      <c r="I53" s="44">
        <f t="shared" si="5"/>
        <v>12</v>
      </c>
    </row>
    <row r="54" spans="1:9" ht="18">
      <c r="A54" s="23" t="s">
        <v>1</v>
      </c>
      <c r="B54" s="42">
        <v>270.4</v>
      </c>
      <c r="C54" s="43">
        <v>287</v>
      </c>
      <c r="D54" s="44">
        <f>1.3+0.7+2.1+1+1.3+7.6+7.5+6.3+0.4+13+20.7+0.5+5.3+9.4+10+8.9+5.1+7.2+1-0.1+17.9+7.1+3.8+1.6+1.9+6.6+0.6+5.8+1.3+5.3+15.2+5.8+4.4+8.4</f>
        <v>194.90000000000006</v>
      </c>
      <c r="E54" s="1">
        <f>D54/D51*100</f>
        <v>1.6192952866792418</v>
      </c>
      <c r="F54" s="1">
        <f t="shared" si="6"/>
        <v>72.07840236686394</v>
      </c>
      <c r="G54" s="1">
        <f t="shared" si="4"/>
        <v>67.90940766550526</v>
      </c>
      <c r="H54" s="44">
        <f t="shared" si="7"/>
        <v>75.49999999999991</v>
      </c>
      <c r="I54" s="44">
        <f t="shared" si="5"/>
        <v>92.09999999999994</v>
      </c>
    </row>
    <row r="55" spans="1:9" ht="18">
      <c r="A55" s="23" t="s">
        <v>0</v>
      </c>
      <c r="B55" s="42">
        <v>792.7</v>
      </c>
      <c r="C55" s="43">
        <v>933.1</v>
      </c>
      <c r="D55" s="44">
        <f>10.7+0.6+7.6+85.1+28.4+14.4+0.1+8.5+0.1+7+0.1+7.7+62.8+6+1.3+0.9+0.9+1+0.7+0.1+4.7+15.2+34.9+9+4+15.8+5.5+7+1.9+1.5+0.1+2.4+1.8+3.7+1.3+4.5+2.3+0.7+0.1+1.8+6.8+1.6+0.7+0.5+1.1+12.5+0.8+0.8+0.7+9.2+0.6+1-1+0.4+0.9+0.3+11.5+1.7+0.6+0.8</f>
        <v>413.70000000000005</v>
      </c>
      <c r="E55" s="1">
        <f>D55/D51*100</f>
        <v>3.4371598773689187</v>
      </c>
      <c r="F55" s="1">
        <f t="shared" si="6"/>
        <v>52.1887220890627</v>
      </c>
      <c r="G55" s="1">
        <f t="shared" si="4"/>
        <v>44.336084021005256</v>
      </c>
      <c r="H55" s="44">
        <f t="shared" si="7"/>
        <v>379</v>
      </c>
      <c r="I55" s="44">
        <f t="shared" si="5"/>
        <v>519.4</v>
      </c>
    </row>
    <row r="56" spans="1:9" ht="18">
      <c r="A56" s="23" t="s">
        <v>14</v>
      </c>
      <c r="B56" s="42">
        <f>200+80</f>
        <v>280</v>
      </c>
      <c r="C56" s="43">
        <f>200+80</f>
        <v>280</v>
      </c>
      <c r="D56" s="43">
        <f>40+40+40+40+40</f>
        <v>200</v>
      </c>
      <c r="E56" s="1">
        <f>D56/D51*100</f>
        <v>1.6616678159869076</v>
      </c>
      <c r="F56" s="1">
        <f>D56/B56*100</f>
        <v>71.42857142857143</v>
      </c>
      <c r="G56" s="1">
        <f>D56/C56*100</f>
        <v>71.42857142857143</v>
      </c>
      <c r="H56" s="44">
        <f t="shared" si="7"/>
        <v>80</v>
      </c>
      <c r="I56" s="44">
        <f t="shared" si="5"/>
        <v>80</v>
      </c>
    </row>
    <row r="57" spans="1:9" ht="18.75" thickBot="1">
      <c r="A57" s="23" t="s">
        <v>29</v>
      </c>
      <c r="B57" s="43">
        <f>B51-B52-B55-B54-B53-B56</f>
        <v>4715.500000000001</v>
      </c>
      <c r="C57" s="43">
        <f>C51-C52-C55-C54-C53-C56</f>
        <v>5100.299999999997</v>
      </c>
      <c r="D57" s="43">
        <f>D51-D52-D55-D54-D53-D56</f>
        <v>2996.199999999992</v>
      </c>
      <c r="E57" s="1">
        <f>D57/D51*100</f>
        <v>24.893445551299795</v>
      </c>
      <c r="F57" s="1">
        <f t="shared" si="6"/>
        <v>63.53939136888965</v>
      </c>
      <c r="G57" s="1">
        <f t="shared" si="4"/>
        <v>58.745563986432046</v>
      </c>
      <c r="H57" s="44">
        <f>B57-D57</f>
        <v>1719.3000000000088</v>
      </c>
      <c r="I57" s="44">
        <f>C57-D57</f>
        <v>2104.1000000000054</v>
      </c>
    </row>
    <row r="58" spans="1:9" s="37" customFormat="1" ht="19.5" hidden="1" thickBot="1">
      <c r="A58" s="96" t="s">
        <v>71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f>5841.1-80</f>
        <v>5761.1</v>
      </c>
      <c r="C59" s="46">
        <f>5881.8+134.4+115.2-20-80</f>
        <v>6031.4</v>
      </c>
      <c r="D59" s="47">
        <f>43.5+4.7+72.8+47.2+46+5+62.5+3.8+40.9+35.3+2.1+2.9+21.1+3.9+86.8+0.2+2.7+44.1+47.3+140.1+0.1+45.6+13.8+0.9+95.5-0.1+6.7+60.6+0.7+0.5+92.7+2.8+4+111.8+66.3+34+5.8+77.7+2.3+68.7+75.6+2+307.4+46.6+2.4+84.1+735+554.7+36.1+0.4+4.7+6+1155-0.3+41.9+0.3+9.2+0.9+86.5-0.1</f>
        <v>4551.699999999998</v>
      </c>
      <c r="E59" s="3">
        <f>D59/D150*100</f>
        <v>0.36606642935119754</v>
      </c>
      <c r="F59" s="3">
        <f>D59/B59*100</f>
        <v>79.00748121018552</v>
      </c>
      <c r="G59" s="3">
        <f t="shared" si="4"/>
        <v>75.46672414364821</v>
      </c>
      <c r="H59" s="47">
        <f>B59-D59</f>
        <v>1209.4000000000024</v>
      </c>
      <c r="I59" s="47">
        <f t="shared" si="5"/>
        <v>1479.7000000000016</v>
      </c>
    </row>
    <row r="60" spans="1:9" ht="18">
      <c r="A60" s="23" t="s">
        <v>3</v>
      </c>
      <c r="B60" s="42">
        <v>1510.3</v>
      </c>
      <c r="C60" s="43">
        <f>1508.2+134.4</f>
        <v>1642.6000000000001</v>
      </c>
      <c r="D60" s="44">
        <f>43.5+72.8+47.2+62.5+0.1+35.3+86.8+44.1+125.7+41.4+92.3+60.6+92.7+66.3+68.7-0.1+2+54.7+84.1+36.1+101.8+41.9+86.5</f>
        <v>1347</v>
      </c>
      <c r="E60" s="1">
        <f>D60/D59*100</f>
        <v>29.593338752554004</v>
      </c>
      <c r="F60" s="1">
        <f t="shared" si="6"/>
        <v>89.1875786267629</v>
      </c>
      <c r="G60" s="1">
        <f t="shared" si="4"/>
        <v>82.00413977840009</v>
      </c>
      <c r="H60" s="44">
        <f t="shared" si="7"/>
        <v>163.29999999999995</v>
      </c>
      <c r="I60" s="44">
        <f t="shared" si="5"/>
        <v>295.60000000000014</v>
      </c>
    </row>
    <row r="61" spans="1:9" ht="18">
      <c r="A61" s="23" t="s">
        <v>1</v>
      </c>
      <c r="B61" s="42">
        <v>311.8</v>
      </c>
      <c r="C61" s="43">
        <f>331.8-20</f>
        <v>311.8</v>
      </c>
      <c r="D61" s="44">
        <f>111.8+77.7+75.6+46.6</f>
        <v>311.70000000000005</v>
      </c>
      <c r="E61" s="1">
        <f>D61/D59*100</f>
        <v>6.847990860557599</v>
      </c>
      <c r="F61" s="1">
        <f>D61/B61*100</f>
        <v>99.96792815907635</v>
      </c>
      <c r="G61" s="1">
        <f t="shared" si="4"/>
        <v>99.96792815907635</v>
      </c>
      <c r="H61" s="44">
        <f t="shared" si="7"/>
        <v>0.0999999999999659</v>
      </c>
      <c r="I61" s="44">
        <f t="shared" si="5"/>
        <v>0.0999999999999659</v>
      </c>
    </row>
    <row r="62" spans="1:9" ht="18">
      <c r="A62" s="23" t="s">
        <v>0</v>
      </c>
      <c r="B62" s="42">
        <v>532.5</v>
      </c>
      <c r="C62" s="43">
        <v>627.5</v>
      </c>
      <c r="D62" s="44">
        <f>4.7+45.7+4.9+40.9+19.8+3.9+46.3+9+12.6+0.9+3+0.3+2.8+0.3+0.1+2.2+0.3+2.2+0.3+3.3+0.5+5.5+0.2-1</f>
        <v>208.70000000000002</v>
      </c>
      <c r="E62" s="1">
        <f>D62/D59*100</f>
        <v>4.585100072500387</v>
      </c>
      <c r="F62" s="1">
        <f t="shared" si="6"/>
        <v>39.1924882629108</v>
      </c>
      <c r="G62" s="1">
        <f t="shared" si="4"/>
        <v>33.2589641434263</v>
      </c>
      <c r="H62" s="44">
        <f t="shared" si="7"/>
        <v>323.79999999999995</v>
      </c>
      <c r="I62" s="44">
        <f t="shared" si="5"/>
        <v>418.79999999999995</v>
      </c>
    </row>
    <row r="63" spans="1:9" ht="18">
      <c r="A63" s="23" t="s">
        <v>14</v>
      </c>
      <c r="B63" s="42">
        <f>3331.4-180</f>
        <v>3151.4</v>
      </c>
      <c r="C63" s="43">
        <f>3216.2+115.2-180</f>
        <v>3151.3999999999996</v>
      </c>
      <c r="D63" s="44">
        <f>252+735+554.4+1033.2</f>
        <v>2574.6000000000004</v>
      </c>
      <c r="E63" s="1">
        <f>D63/D59*100</f>
        <v>56.56348177603976</v>
      </c>
      <c r="F63" s="1">
        <f t="shared" si="6"/>
        <v>81.69702354509108</v>
      </c>
      <c r="G63" s="1">
        <f t="shared" si="4"/>
        <v>81.6970235450911</v>
      </c>
      <c r="H63" s="44">
        <f t="shared" si="7"/>
        <v>576.7999999999997</v>
      </c>
      <c r="I63" s="44">
        <f t="shared" si="5"/>
        <v>576.7999999999993</v>
      </c>
    </row>
    <row r="64" spans="1:9" ht="18.75" thickBot="1">
      <c r="A64" s="23" t="s">
        <v>29</v>
      </c>
      <c r="B64" s="43">
        <f>B59-B60-B62-B63-B61</f>
        <v>255.10000000000008</v>
      </c>
      <c r="C64" s="43">
        <f>C59-C60-C62-C63-C61</f>
        <v>298.0999999999996</v>
      </c>
      <c r="D64" s="43">
        <f>D59-D60-D62-D63-D61</f>
        <v>109.69999999999777</v>
      </c>
      <c r="E64" s="1">
        <f>D64/D59*100</f>
        <v>2.4100885383482615</v>
      </c>
      <c r="F64" s="1">
        <f t="shared" si="6"/>
        <v>43.00274402195129</v>
      </c>
      <c r="G64" s="1">
        <f t="shared" si="4"/>
        <v>36.79973163367927</v>
      </c>
      <c r="H64" s="44">
        <f t="shared" si="7"/>
        <v>145.4000000000023</v>
      </c>
      <c r="I64" s="44">
        <f t="shared" si="5"/>
        <v>188.40000000000185</v>
      </c>
    </row>
    <row r="65" spans="1:9" s="37" customFormat="1" ht="19.5" hidden="1" thickBot="1">
      <c r="A65" s="96" t="s">
        <v>82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68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69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70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270.2</v>
      </c>
      <c r="C69" s="46">
        <f>C70+C71</f>
        <v>311.8</v>
      </c>
      <c r="D69" s="47">
        <f>SUM(D70:D71)</f>
        <v>179.5</v>
      </c>
      <c r="E69" s="35">
        <f>D69/D150*100</f>
        <v>0.014436128055131048</v>
      </c>
      <c r="F69" s="3">
        <f>D69/B69*100</f>
        <v>66.43227239082161</v>
      </c>
      <c r="G69" s="3">
        <f t="shared" si="4"/>
        <v>57.56895445798589</v>
      </c>
      <c r="H69" s="47">
        <f>B69-D69</f>
        <v>90.69999999999999</v>
      </c>
      <c r="I69" s="47">
        <f t="shared" si="5"/>
        <v>132.3</v>
      </c>
    </row>
    <row r="70" spans="1:9" ht="18">
      <c r="A70" s="23" t="s">
        <v>8</v>
      </c>
      <c r="B70" s="42">
        <v>170.9</v>
      </c>
      <c r="C70" s="43">
        <v>171</v>
      </c>
      <c r="D70" s="44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4">
        <f t="shared" si="7"/>
        <v>1</v>
      </c>
      <c r="I70" s="44">
        <f t="shared" si="5"/>
        <v>1.0999999999999943</v>
      </c>
    </row>
    <row r="71" spans="1:9" ht="18.75" thickBot="1">
      <c r="A71" s="23" t="s">
        <v>9</v>
      </c>
      <c r="B71" s="42">
        <v>99.3</v>
      </c>
      <c r="C71" s="43">
        <f>149.8-9</f>
        <v>140.8</v>
      </c>
      <c r="D71" s="44">
        <f>9.6</f>
        <v>9.6</v>
      </c>
      <c r="E71" s="1">
        <f>D71/D70*100</f>
        <v>5.650382577987051</v>
      </c>
      <c r="F71" s="1">
        <f t="shared" si="6"/>
        <v>9.667673716012084</v>
      </c>
      <c r="G71" s="1">
        <f t="shared" si="4"/>
        <v>6.8181818181818175</v>
      </c>
      <c r="H71" s="44">
        <f t="shared" si="7"/>
        <v>89.7</v>
      </c>
      <c r="I71" s="44">
        <f t="shared" si="5"/>
        <v>131.20000000000002</v>
      </c>
    </row>
    <row r="72" spans="1:9" ht="38.25" hidden="1" thickBot="1">
      <c r="A72" s="13" t="s">
        <v>45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49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50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36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46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996</v>
      </c>
      <c r="C77" s="62">
        <f>10000-8192+3069.6-3069.6</f>
        <v>1808.0000000000005</v>
      </c>
      <c r="D77" s="63"/>
      <c r="E77" s="41"/>
      <c r="F77" s="41"/>
      <c r="G77" s="41"/>
      <c r="H77" s="63">
        <f>B77-D77</f>
        <v>996</v>
      </c>
      <c r="I77" s="63">
        <f t="shared" si="5"/>
        <v>1808.0000000000005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62</v>
      </c>
      <c r="B79" s="54"/>
      <c r="C79" s="46">
        <f>C80+C81</f>
        <v>0</v>
      </c>
      <c r="D79" s="46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61</v>
      </c>
      <c r="B80" s="64"/>
      <c r="C80" s="43">
        <f>50-50</f>
        <v>0</v>
      </c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57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35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42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37</v>
      </c>
      <c r="B84" s="54"/>
      <c r="C84" s="46">
        <f>C85+C86</f>
        <v>0</v>
      </c>
      <c r="D84" s="46">
        <f>D85+D86</f>
        <v>0</v>
      </c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38</v>
      </c>
      <c r="B87" s="54"/>
      <c r="C87" s="46">
        <f>SUM(C88:C89)</f>
        <v>0</v>
      </c>
      <c r="D87" s="46">
        <f>SUM(D88:D89)</f>
        <v>0</v>
      </c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f>55447.2+28.8</f>
        <v>55476</v>
      </c>
      <c r="C90" s="46">
        <f>50201.5+5861+2853.8+11.8-0.1+368.5+374.4+150.3+28.8</f>
        <v>59850.000000000015</v>
      </c>
      <c r="D90" s="47">
        <f>44075.1+103.3+46.5+25+15.6+5.7+164.2+1847.8+521.6+2.8+15.8+61.2+46.7+110.4</f>
        <v>47041.7</v>
      </c>
      <c r="E90" s="3">
        <f>D90/D150*100</f>
        <v>3.783286936663277</v>
      </c>
      <c r="F90" s="3">
        <f aca="true" t="shared" si="10" ref="F90:F96">D90/B90*100</f>
        <v>84.79648857163457</v>
      </c>
      <c r="G90" s="3">
        <f t="shared" si="8"/>
        <v>78.59933166248953</v>
      </c>
      <c r="H90" s="47">
        <f aca="true" t="shared" si="11" ref="H90:H96">B90-D90</f>
        <v>8434.300000000003</v>
      </c>
      <c r="I90" s="47">
        <f t="shared" si="9"/>
        <v>12808.300000000017</v>
      </c>
    </row>
    <row r="91" spans="1:9" ht="18">
      <c r="A91" s="23" t="s">
        <v>3</v>
      </c>
      <c r="B91" s="42">
        <v>45976.7</v>
      </c>
      <c r="C91" s="43">
        <f>41785.6+5825.3+1852.2+217.6</f>
        <v>49680.7</v>
      </c>
      <c r="D91" s="44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+921+6.3+28.3+70+9.1+128.5+614.6+569.2+16.1+1.9+11.2+2.4+26.3+683.5+6.9+1760.8-43.9+44.1+47.2+3.7+44.6+6.8+29.2+525.1+755.5+10.1+5.2+1823.3+518.1+13.3</f>
        <v>40153.69999999999</v>
      </c>
      <c r="E91" s="1">
        <f>D91/D90*100</f>
        <v>85.35767202290731</v>
      </c>
      <c r="F91" s="1">
        <f t="shared" si="10"/>
        <v>87.33488919387428</v>
      </c>
      <c r="G91" s="1">
        <f t="shared" si="8"/>
        <v>80.82353912082557</v>
      </c>
      <c r="H91" s="44">
        <f t="shared" si="11"/>
        <v>5823.000000000007</v>
      </c>
      <c r="I91" s="44">
        <f t="shared" si="9"/>
        <v>9527.000000000007</v>
      </c>
    </row>
    <row r="92" spans="1:9" ht="18">
      <c r="A92" s="23" t="s">
        <v>27</v>
      </c>
      <c r="B92" s="42">
        <v>1830</v>
      </c>
      <c r="C92" s="43">
        <f>2476+1-355.6</f>
        <v>2121.4</v>
      </c>
      <c r="D92" s="44">
        <f>9.8+96.8+35.3+50.2+1.4+30+1.1+18.1+138.1+43.8+4.2+9.3+27.5+5.8+0.2+2.4+1+11.7+14.7+34.3+26.9+2.8+30.4+0.1+10.2+1.4+0.2+22+131.7+1.9+1.6+30.8+150.2+0.9+0.6+2.2+0.6+31.6+20.6+1+0.3+3+17.7+35.6+0.9+0.3+39.3+12.6+23.9+20.8+0.8+3.9+30.4+0.7-20.7+16.1+5+57.9+10.9+15.8</f>
        <v>1278.6</v>
      </c>
      <c r="E92" s="1">
        <f>D92/D90*100</f>
        <v>2.7180140173505634</v>
      </c>
      <c r="F92" s="1">
        <f t="shared" si="10"/>
        <v>69.86885245901638</v>
      </c>
      <c r="G92" s="1">
        <f t="shared" si="8"/>
        <v>60.271518808334115</v>
      </c>
      <c r="H92" s="44">
        <f t="shared" si="11"/>
        <v>551.4000000000001</v>
      </c>
      <c r="I92" s="44">
        <f t="shared" si="9"/>
        <v>842.8000000000002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29</v>
      </c>
      <c r="B94" s="43">
        <f>B90-B91-B92-B93</f>
        <v>7669.300000000003</v>
      </c>
      <c r="C94" s="43">
        <f>C90-C91-C92-C93</f>
        <v>8047.900000000018</v>
      </c>
      <c r="D94" s="43">
        <f>D90-D91-D92-D93</f>
        <v>5609.400000000007</v>
      </c>
      <c r="E94" s="1">
        <f>D94/D90*100</f>
        <v>11.924313959742117</v>
      </c>
      <c r="F94" s="1">
        <f t="shared" si="10"/>
        <v>73.14096462519402</v>
      </c>
      <c r="G94" s="1">
        <f>D94/C94*100</f>
        <v>69.70017023074335</v>
      </c>
      <c r="H94" s="44">
        <f t="shared" si="11"/>
        <v>2059.899999999996</v>
      </c>
      <c r="I94" s="44">
        <f>C94-D94</f>
        <v>2438.500000000011</v>
      </c>
    </row>
    <row r="95" spans="1:9" ht="18.75">
      <c r="A95" s="108" t="s">
        <v>12</v>
      </c>
      <c r="B95" s="111">
        <f>73728.7+111.6</f>
        <v>73840.3</v>
      </c>
      <c r="C95" s="113">
        <f>63500.4+11490.6+4535.2-1.1-1111.2+1589.3-1380+1170.8+341.6</f>
        <v>80135.6</v>
      </c>
      <c r="D95" s="112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+590.2-0.2+1084.3+1229.3+137.2+627.6+37.3+404.5+7+105.8+10.9+68+190.3+238.7+178.1+272+84.2+347.5+338.9+2528.3+1004.6+206.7+0.8+96.1+194.7+14.8+157.3+441.3+104.7+123.9+144.5+1256.9+0.2-146.7+802.5+10.4+368.4+25</f>
        <v>67896.59999999999</v>
      </c>
      <c r="E95" s="107">
        <f>D95/D150*100</f>
        <v>5.460523744334321</v>
      </c>
      <c r="F95" s="110">
        <f t="shared" si="10"/>
        <v>91.95060150080646</v>
      </c>
      <c r="G95" s="106">
        <f>D95/C95*100</f>
        <v>84.72713750193421</v>
      </c>
      <c r="H95" s="112">
        <f t="shared" si="11"/>
        <v>5943.700000000012</v>
      </c>
      <c r="I95" s="122">
        <f>C95-D95</f>
        <v>12239.000000000015</v>
      </c>
    </row>
    <row r="96" spans="1:9" ht="18.75" thickBot="1">
      <c r="A96" s="109" t="s">
        <v>89</v>
      </c>
      <c r="B96" s="114">
        <v>7264.1</v>
      </c>
      <c r="C96" s="115">
        <f>5343.5+287.2+2416.8+30+300</f>
        <v>8377.5</v>
      </c>
      <c r="D96" s="116">
        <f>4529.8+517.7+29.4+13.1+5+72.5+64.2-0.1+1.6</f>
        <v>5233.2</v>
      </c>
      <c r="E96" s="117">
        <f>D96/D95*100</f>
        <v>7.707602442537624</v>
      </c>
      <c r="F96" s="118">
        <f t="shared" si="10"/>
        <v>72.04195977478282</v>
      </c>
      <c r="G96" s="119">
        <f>D96/C96*100</f>
        <v>62.46732318710833</v>
      </c>
      <c r="H96" s="123">
        <f t="shared" si="11"/>
        <v>2030.9000000000005</v>
      </c>
      <c r="I96" s="124">
        <f>C96-D96</f>
        <v>3144.3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40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55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v>9549.5</v>
      </c>
      <c r="C102" s="92">
        <f>10703.3-154-3.5-134.3+83.4+37+0.1+6</f>
        <v>10538</v>
      </c>
      <c r="D102" s="79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+89.5+0.1+51.4+9.3+18.4+121.3+4+17.3+7.5+0.8+3.2+62.9+4.2+24.9+28.5+7.2+36.4+13.4-69.2-69.4+10.7+20.3+13+179+16.4+2+1.8+74.8+3.8+60.7+62.9+61.1+139.1+21.8+20.2+27.6</f>
        <v>6438.1</v>
      </c>
      <c r="E102" s="19">
        <f>D102/D150*100</f>
        <v>0.5177784737144245</v>
      </c>
      <c r="F102" s="19">
        <f>D102/B102*100</f>
        <v>67.41818943400179</v>
      </c>
      <c r="G102" s="19">
        <f aca="true" t="shared" si="12" ref="G102:G148">D102/C102*100</f>
        <v>61.09413550958437</v>
      </c>
      <c r="H102" s="79">
        <f aca="true" t="shared" si="13" ref="H102:H107">B102-D102</f>
        <v>3111.3999999999996</v>
      </c>
      <c r="I102" s="79">
        <f aca="true" t="shared" si="14" ref="I102:I148">C102-D102</f>
        <v>4099.9</v>
      </c>
    </row>
    <row r="103" spans="1:9" ht="18">
      <c r="A103" s="23" t="s">
        <v>3</v>
      </c>
      <c r="B103" s="89">
        <v>155.7</v>
      </c>
      <c r="C103" s="87">
        <v>187.6</v>
      </c>
      <c r="D103" s="87">
        <f>15.1+18.9-0.1+18.6+22.1+18.4+16.3+23.1</f>
        <v>132.4</v>
      </c>
      <c r="E103" s="83">
        <f>D103/D102*100</f>
        <v>2.0565073546543235</v>
      </c>
      <c r="F103" s="1">
        <f>D103/B103*100</f>
        <v>85.03532434168272</v>
      </c>
      <c r="G103" s="83">
        <f>D103/C103*100</f>
        <v>70.57569296375267</v>
      </c>
      <c r="H103" s="87">
        <f t="shared" si="13"/>
        <v>23.299999999999983</v>
      </c>
      <c r="I103" s="87">
        <f t="shared" si="14"/>
        <v>55.19999999999999</v>
      </c>
    </row>
    <row r="104" spans="1:9" ht="18">
      <c r="A104" s="85" t="s">
        <v>52</v>
      </c>
      <c r="B104" s="74">
        <v>7770.6</v>
      </c>
      <c r="C104" s="44">
        <f>8863.3-154-3.5-134.3+25.3+6+39.1</f>
        <v>8641.9</v>
      </c>
      <c r="D104" s="44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+27.8+0.1+17.8+121.1+4+17.3+7.4+3.1+62.9+4.2+2+3.7+25-0.1+1.8+178.8+16.4+2+1.8+69.8+3.8+60.7+13.3+54.1-0.2+15+1.8</f>
        <v>5361.500000000001</v>
      </c>
      <c r="E104" s="1">
        <f>D104/D102*100</f>
        <v>83.277675090477</v>
      </c>
      <c r="F104" s="1">
        <f aca="true" t="shared" si="15" ref="F104:F148">D104/B104*100</f>
        <v>68.99724602990761</v>
      </c>
      <c r="G104" s="1">
        <f t="shared" si="12"/>
        <v>62.04075492657866</v>
      </c>
      <c r="H104" s="44">
        <f t="shared" si="13"/>
        <v>2409.0999999999995</v>
      </c>
      <c r="I104" s="44">
        <f t="shared" si="14"/>
        <v>3280.3999999999987</v>
      </c>
    </row>
    <row r="105" spans="1:9" ht="54.75" hidden="1" thickBot="1">
      <c r="A105" s="86" t="s">
        <v>85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29</v>
      </c>
      <c r="B106" s="88">
        <f>B102-B103-B104</f>
        <v>1623.199999999999</v>
      </c>
      <c r="C106" s="88">
        <f>C102-C103-C104</f>
        <v>1708.5</v>
      </c>
      <c r="D106" s="88">
        <f>D102-D103-D104</f>
        <v>944.1999999999998</v>
      </c>
      <c r="E106" s="84">
        <f>D106/D102*100</f>
        <v>14.665817554868669</v>
      </c>
      <c r="F106" s="84">
        <f t="shared" si="15"/>
        <v>58.16904879250865</v>
      </c>
      <c r="G106" s="84">
        <f t="shared" si="12"/>
        <v>55.26485220954053</v>
      </c>
      <c r="H106" s="124">
        <f>B106-D106</f>
        <v>678.9999999999991</v>
      </c>
      <c r="I106" s="124">
        <f t="shared" si="14"/>
        <v>764.3000000000002</v>
      </c>
    </row>
    <row r="107" spans="1:9" s="2" customFormat="1" ht="26.25" customHeight="1" thickBot="1">
      <c r="A107" s="80" t="s">
        <v>30</v>
      </c>
      <c r="B107" s="81">
        <f>SUM(B108:B147)-B115-B119+B148-B139-B140-B109-B112-B122-B123-B137-B131-B129</f>
        <v>556479.6000000001</v>
      </c>
      <c r="C107" s="81">
        <f>SUM(C108:C147)-C115-C119+C148-C139-C140-C109-C112-C122-C123-C137-C131-C129</f>
        <v>588259</v>
      </c>
      <c r="D107" s="81">
        <f>SUM(D108:D147)-D115-D119+D148-D139-D140-D109-D112-D122-D123-D137-D131-D129</f>
        <v>526279.1000000001</v>
      </c>
      <c r="E107" s="82">
        <f>D107/D150*100</f>
        <v>42.325529138379494</v>
      </c>
      <c r="F107" s="82">
        <f>D107/B107*100</f>
        <v>94.5729367258027</v>
      </c>
      <c r="G107" s="82">
        <f t="shared" si="12"/>
        <v>89.46384160718324</v>
      </c>
      <c r="H107" s="81">
        <f t="shared" si="13"/>
        <v>30200.5</v>
      </c>
      <c r="I107" s="81">
        <f t="shared" si="14"/>
        <v>61979.89999999991</v>
      </c>
    </row>
    <row r="108" spans="1:9" ht="37.5">
      <c r="A108" s="28" t="s">
        <v>56</v>
      </c>
      <c r="B108" s="71">
        <v>1960.1</v>
      </c>
      <c r="C108" s="67">
        <v>2166.2</v>
      </c>
      <c r="D108" s="72">
        <f>142.7+0.9+78.6+37.4+44.2+140.1+1+20.9+25.7+0.2+2+0.6+0.4+1.8+1.5-0.1+62.6+2.1+1.9+2.9+1+9.8+0.1+52+4.8+2+1.2+2+5.2+2.6-0.1+56.3+43+2.2+0.3+6.3+0.1+46.4+1.3+6.5+1.2+1-0.1+67.4+1.9+0.3+9.6+59+4.3+5.5+18.3+1.1+0.2+37.9</f>
        <v>1017.9999999999997</v>
      </c>
      <c r="E108" s="6">
        <f>D108/D107*100</f>
        <v>0.19343348424818685</v>
      </c>
      <c r="F108" s="6">
        <f t="shared" si="15"/>
        <v>51.93612570787203</v>
      </c>
      <c r="G108" s="6">
        <f t="shared" si="12"/>
        <v>46.994737328039875</v>
      </c>
      <c r="H108" s="61">
        <f aca="true" t="shared" si="16" ref="H108:H148">B108-D108</f>
        <v>942.1000000000003</v>
      </c>
      <c r="I108" s="61">
        <f t="shared" si="14"/>
        <v>1148.2000000000003</v>
      </c>
    </row>
    <row r="109" spans="1:9" ht="18">
      <c r="A109" s="23" t="s">
        <v>27</v>
      </c>
      <c r="B109" s="74">
        <v>1094</v>
      </c>
      <c r="C109" s="44">
        <v>1213.5</v>
      </c>
      <c r="D109" s="75">
        <f>142.7+0.9+78.6+37.4+20.9+42.5+24.8+0.6+32.7+0.1+16.7+37.6+29.1+37.9</f>
        <v>502.5</v>
      </c>
      <c r="E109" s="1">
        <f>D109/D108*100</f>
        <v>49.36149312377212</v>
      </c>
      <c r="F109" s="1">
        <f t="shared" si="15"/>
        <v>45.93235831809872</v>
      </c>
      <c r="G109" s="1">
        <f t="shared" si="12"/>
        <v>41.409147095179236</v>
      </c>
      <c r="H109" s="44">
        <f t="shared" si="16"/>
        <v>591.5</v>
      </c>
      <c r="I109" s="44">
        <f t="shared" si="14"/>
        <v>711</v>
      </c>
    </row>
    <row r="110" spans="1:9" ht="34.5" customHeight="1">
      <c r="A110" s="16" t="s">
        <v>84</v>
      </c>
      <c r="B110" s="73">
        <v>745.5</v>
      </c>
      <c r="C110" s="61">
        <v>778.3</v>
      </c>
      <c r="D110" s="72">
        <f>26.5+20.2+7.7+37.4+7.5+38.9-0.1+38.9+12.6+45.5+9.7+1.6+37.6-0.1+56.2+1.4+57.4+128+14.8+60.5</f>
        <v>602.1999999999998</v>
      </c>
      <c r="E110" s="6">
        <f>D110/D107*100</f>
        <v>0.11442597663483116</v>
      </c>
      <c r="F110" s="6">
        <f>D110/B110*100</f>
        <v>80.7780013413816</v>
      </c>
      <c r="G110" s="6">
        <f t="shared" si="12"/>
        <v>77.37376333033534</v>
      </c>
      <c r="H110" s="61">
        <f t="shared" si="16"/>
        <v>143.30000000000018</v>
      </c>
      <c r="I110" s="61">
        <f t="shared" si="14"/>
        <v>176.10000000000014</v>
      </c>
    </row>
    <row r="111" spans="1:9" s="37" customFormat="1" ht="34.5" customHeight="1">
      <c r="A111" s="16" t="s">
        <v>60</v>
      </c>
      <c r="B111" s="73">
        <v>314.4</v>
      </c>
      <c r="C111" s="53">
        <f>774.1-429.7</f>
        <v>344.40000000000003</v>
      </c>
      <c r="D111" s="76">
        <f>10.5</f>
        <v>10.5</v>
      </c>
      <c r="E111" s="6">
        <f>D111/D107*100</f>
        <v>0.0019951390811453465</v>
      </c>
      <c r="F111" s="6">
        <f t="shared" si="15"/>
        <v>3.3396946564885495</v>
      </c>
      <c r="G111" s="6">
        <f t="shared" si="12"/>
        <v>3.0487804878048776</v>
      </c>
      <c r="H111" s="61">
        <f t="shared" si="16"/>
        <v>303.9</v>
      </c>
      <c r="I111" s="61">
        <f t="shared" si="14"/>
        <v>333.90000000000003</v>
      </c>
    </row>
    <row r="112" spans="1:9" ht="18" hidden="1">
      <c r="A112" s="23" t="s">
        <v>27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103</v>
      </c>
      <c r="B113" s="73">
        <v>50</v>
      </c>
      <c r="C113" s="61">
        <v>50</v>
      </c>
      <c r="D113" s="72">
        <f>5.8+4.7+0.7+0.7+1+13.8</f>
        <v>26.7</v>
      </c>
      <c r="E113" s="6">
        <f>D113/D107*100</f>
        <v>0.005073353663483881</v>
      </c>
      <c r="F113" s="6">
        <f t="shared" si="15"/>
        <v>53.400000000000006</v>
      </c>
      <c r="G113" s="6">
        <f t="shared" si="12"/>
        <v>53.400000000000006</v>
      </c>
      <c r="H113" s="61">
        <f t="shared" si="16"/>
        <v>23.3</v>
      </c>
      <c r="I113" s="61">
        <f t="shared" si="14"/>
        <v>23.3</v>
      </c>
    </row>
    <row r="114" spans="1:9" ht="37.5">
      <c r="A114" s="16" t="s">
        <v>41</v>
      </c>
      <c r="B114" s="73">
        <v>1615.3</v>
      </c>
      <c r="C114" s="61">
        <v>1826</v>
      </c>
      <c r="D114" s="72">
        <f>82.2+4.4+0.2+16.8+100.8+0.1+8.3+21.3+93.2+14.5+11.8+88.2+4.6+1.1+5.8+6+2.3+112.3+12.6+0.8+1.5+0.2+0.2+72.9+5.6+10.9+0.3+11.7+5.8+0.6+108.3+0.1+3+1.3+29.1+101.7+7.2+3.2+0.7+0.2+0.2+0.2+104.4+5.6+2.8+2.6+104.7+5.8+6.4</f>
        <v>1184.5000000000002</v>
      </c>
      <c r="E114" s="6">
        <f>D114/D107*100</f>
        <v>0.22507068967777744</v>
      </c>
      <c r="F114" s="6">
        <f t="shared" si="15"/>
        <v>73.33003157308241</v>
      </c>
      <c r="G114" s="6">
        <f t="shared" si="12"/>
        <v>64.86856516977</v>
      </c>
      <c r="H114" s="61">
        <f t="shared" si="16"/>
        <v>430.7999999999997</v>
      </c>
      <c r="I114" s="61">
        <f t="shared" si="14"/>
        <v>641.4999999999998</v>
      </c>
    </row>
    <row r="115" spans="1:9" ht="18" hidden="1">
      <c r="A115" s="33" t="s">
        <v>47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>
      <c r="A116" s="16" t="s">
        <v>104</v>
      </c>
      <c r="B116" s="73">
        <v>249</v>
      </c>
      <c r="C116" s="53">
        <v>264.5</v>
      </c>
      <c r="D116" s="76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3">
        <f t="shared" si="16"/>
        <v>249</v>
      </c>
      <c r="I116" s="53">
        <f t="shared" si="14"/>
        <v>264.5</v>
      </c>
    </row>
    <row r="117" spans="1:9" ht="37.5">
      <c r="A117" s="16" t="s">
        <v>51</v>
      </c>
      <c r="B117" s="73">
        <v>110</v>
      </c>
      <c r="C117" s="61">
        <v>110</v>
      </c>
      <c r="D117" s="72">
        <f>15+30.5+11.5</f>
        <v>57</v>
      </c>
      <c r="E117" s="6">
        <f>D117/D107*100</f>
        <v>0.01083075501193188</v>
      </c>
      <c r="F117" s="6">
        <f>D117/B117*100</f>
        <v>51.81818181818182</v>
      </c>
      <c r="G117" s="6">
        <f t="shared" si="12"/>
        <v>51.81818181818182</v>
      </c>
      <c r="H117" s="61">
        <f t="shared" si="16"/>
        <v>53</v>
      </c>
      <c r="I117" s="61">
        <f t="shared" si="14"/>
        <v>53</v>
      </c>
    </row>
    <row r="118" spans="1:9" s="2" customFormat="1" ht="18.75">
      <c r="A118" s="16" t="s">
        <v>15</v>
      </c>
      <c r="B118" s="73">
        <v>210.8</v>
      </c>
      <c r="C118" s="53">
        <f>229.6+4.4</f>
        <v>234</v>
      </c>
      <c r="D118" s="72">
        <f>17.1-0.3+0.8+0.3+21.4+4.2+0.3+17.6+4.2+0.8+0.3+16.8+0.3+2+2.2+17.7+1.1+4.1+17.7+0.8+4.3+0.3+1.6+0.3+4+0.8+1.7+3+17.7+1.1+2.9+17.7+1.2</f>
        <v>185.99999999999997</v>
      </c>
      <c r="E118" s="6">
        <f>D118/D107*100</f>
        <v>0.03534246372314613</v>
      </c>
      <c r="F118" s="6">
        <f t="shared" si="15"/>
        <v>88.23529411764704</v>
      </c>
      <c r="G118" s="6">
        <f t="shared" si="12"/>
        <v>79.48717948717947</v>
      </c>
      <c r="H118" s="61">
        <f t="shared" si="16"/>
        <v>24.80000000000004</v>
      </c>
      <c r="I118" s="61">
        <f t="shared" si="14"/>
        <v>48.00000000000003</v>
      </c>
    </row>
    <row r="119" spans="1:9" s="32" customFormat="1" ht="18">
      <c r="A119" s="33" t="s">
        <v>47</v>
      </c>
      <c r="B119" s="74">
        <v>155.7</v>
      </c>
      <c r="C119" s="44">
        <f>170.2+4.4</f>
        <v>174.6</v>
      </c>
      <c r="D119" s="75">
        <f>17.1-0.3+16.8+16.8+16.8+17.7+17.7+17.7+17.7</f>
        <v>138</v>
      </c>
      <c r="E119" s="1">
        <f>D119/D118*100</f>
        <v>74.19354838709678</v>
      </c>
      <c r="F119" s="1">
        <f t="shared" si="15"/>
        <v>88.63198458574182</v>
      </c>
      <c r="G119" s="1">
        <f t="shared" si="12"/>
        <v>79.03780068728523</v>
      </c>
      <c r="H119" s="44">
        <f t="shared" si="16"/>
        <v>17.69999999999999</v>
      </c>
      <c r="I119" s="44">
        <f t="shared" si="14"/>
        <v>36.599999999999994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39</v>
      </c>
      <c r="B121" s="73">
        <v>488.7</v>
      </c>
      <c r="C121" s="53">
        <f>204.9+375.8-12</f>
        <v>568.7</v>
      </c>
      <c r="D121" s="76">
        <f>136.8+10+57.4-0.1+22.6+0.1</f>
        <v>226.8</v>
      </c>
      <c r="E121" s="17">
        <f>D121/D107*100</f>
        <v>0.04309500415273949</v>
      </c>
      <c r="F121" s="6">
        <f t="shared" si="15"/>
        <v>46.408839779005525</v>
      </c>
      <c r="G121" s="6">
        <f t="shared" si="12"/>
        <v>39.880429048707576</v>
      </c>
      <c r="H121" s="61">
        <f t="shared" si="16"/>
        <v>261.9</v>
      </c>
      <c r="I121" s="61">
        <f t="shared" si="14"/>
        <v>341.90000000000003</v>
      </c>
    </row>
    <row r="122" spans="1:9" s="102" customFormat="1" ht="18">
      <c r="A122" s="23" t="s">
        <v>86</v>
      </c>
      <c r="B122" s="74">
        <v>80</v>
      </c>
      <c r="C122" s="44">
        <v>80</v>
      </c>
      <c r="D122" s="75">
        <f>57.4+22.6</f>
        <v>80</v>
      </c>
      <c r="E122" s="6"/>
      <c r="F122" s="1">
        <f>D122/B122*100</f>
        <v>100</v>
      </c>
      <c r="G122" s="1">
        <f t="shared" si="12"/>
        <v>100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53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43</v>
      </c>
      <c r="B124" s="73">
        <v>26438.7</v>
      </c>
      <c r="C124" s="53">
        <f>5096.9+1707.5+6000+16669.6-700+350</f>
        <v>29124</v>
      </c>
      <c r="D124" s="76">
        <f>3776+7.6+1124+100+14.3+14.5+0.1+20.4+3015.8+9+1156.5+27+0.1+1146.6+5.2+681+29.9+16.3+480.3+117.6+5542.8+148.8+1446+310+974.1+0.1+1858.9+80.5+1043.3+1734.7</f>
        <v>24881.399999999998</v>
      </c>
      <c r="E124" s="17">
        <f>D124/D107*100</f>
        <v>4.727795574629506</v>
      </c>
      <c r="F124" s="6">
        <f t="shared" si="15"/>
        <v>94.10977090401569</v>
      </c>
      <c r="G124" s="6">
        <f t="shared" si="12"/>
        <v>85.43263288009888</v>
      </c>
      <c r="H124" s="61">
        <f t="shared" si="16"/>
        <v>1557.300000000003</v>
      </c>
      <c r="I124" s="61">
        <f t="shared" si="14"/>
        <v>4242.600000000002</v>
      </c>
    </row>
    <row r="125" spans="1:9" s="2" customFormat="1" ht="18.75">
      <c r="A125" s="16" t="s">
        <v>106</v>
      </c>
      <c r="B125" s="73">
        <v>875</v>
      </c>
      <c r="C125" s="53">
        <f>1239-364</f>
        <v>875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875</v>
      </c>
      <c r="I125" s="61">
        <f t="shared" si="14"/>
        <v>875</v>
      </c>
    </row>
    <row r="126" spans="1:9" s="2" customFormat="1" ht="37.5">
      <c r="A126" s="16" t="s">
        <v>105</v>
      </c>
      <c r="B126" s="73">
        <v>20</v>
      </c>
      <c r="C126" s="53">
        <v>20</v>
      </c>
      <c r="D126" s="76"/>
      <c r="E126" s="17">
        <f>D126/D107*100</f>
        <v>0</v>
      </c>
      <c r="F126" s="125">
        <f t="shared" si="15"/>
        <v>0</v>
      </c>
      <c r="G126" s="6">
        <f t="shared" si="12"/>
        <v>0</v>
      </c>
      <c r="H126" s="61">
        <f t="shared" si="16"/>
        <v>20</v>
      </c>
      <c r="I126" s="61">
        <f t="shared" si="14"/>
        <v>20</v>
      </c>
    </row>
    <row r="127" spans="1:9" s="2" customFormat="1" ht="37.5">
      <c r="A127" s="16" t="s">
        <v>91</v>
      </c>
      <c r="B127" s="73">
        <v>95.1</v>
      </c>
      <c r="C127" s="53">
        <v>95.1</v>
      </c>
      <c r="D127" s="76">
        <f>4.5+17.5+0.7+32.3</f>
        <v>55</v>
      </c>
      <c r="E127" s="17">
        <f>D127/D107*100</f>
        <v>0.010450728520285148</v>
      </c>
      <c r="F127" s="6">
        <f t="shared" si="15"/>
        <v>57.83385909568876</v>
      </c>
      <c r="G127" s="6">
        <f t="shared" si="12"/>
        <v>57.83385909568876</v>
      </c>
      <c r="H127" s="61">
        <f t="shared" si="16"/>
        <v>40.099999999999994</v>
      </c>
      <c r="I127" s="61">
        <f t="shared" si="14"/>
        <v>40.099999999999994</v>
      </c>
    </row>
    <row r="128" spans="1:9" s="2" customFormat="1" ht="37.5">
      <c r="A128" s="16" t="s">
        <v>63</v>
      </c>
      <c r="B128" s="73">
        <f>685.1+175.2</f>
        <v>860.3</v>
      </c>
      <c r="C128" s="53">
        <v>983</v>
      </c>
      <c r="D128" s="76">
        <f>2.8+14.4+2.8+8.8+3.7+4+2.8+5.8+9.6+4.2+2.7+0.2+2.9+76+0.5+2.6+4.7+5.9+2.9+2.9+16.5+2.9+3.4+118.6+34.2</f>
        <v>335.8</v>
      </c>
      <c r="E128" s="17">
        <f>D128/D107*100</f>
        <v>0.06380644794748641</v>
      </c>
      <c r="F128" s="6">
        <f t="shared" si="15"/>
        <v>39.03289550156923</v>
      </c>
      <c r="G128" s="6">
        <f t="shared" si="12"/>
        <v>34.16073245167854</v>
      </c>
      <c r="H128" s="61">
        <f t="shared" si="16"/>
        <v>524.5</v>
      </c>
      <c r="I128" s="61">
        <f t="shared" si="14"/>
        <v>647.2</v>
      </c>
    </row>
    <row r="129" spans="1:9" s="32" customFormat="1" ht="18">
      <c r="A129" s="23" t="s">
        <v>99</v>
      </c>
      <c r="B129" s="74">
        <v>398.1</v>
      </c>
      <c r="C129" s="44">
        <f>851.8-335.4</f>
        <v>516.4</v>
      </c>
      <c r="D129" s="75">
        <f>2.8+2.8-0.1+2.8+2.7+2.9+70.7+4.7+2.9+2.9+2.9+2.9</f>
        <v>100.90000000000003</v>
      </c>
      <c r="E129" s="1">
        <f>D129/D128*100</f>
        <v>30.047647409172136</v>
      </c>
      <c r="F129" s="1">
        <f>D129/B129*100</f>
        <v>25.34539060537554</v>
      </c>
      <c r="G129" s="1">
        <f t="shared" si="12"/>
        <v>19.539116963594118</v>
      </c>
      <c r="H129" s="44">
        <f t="shared" si="16"/>
        <v>297.2</v>
      </c>
      <c r="I129" s="44">
        <f t="shared" si="14"/>
        <v>415.49999999999994</v>
      </c>
    </row>
    <row r="130" spans="1:9" s="2" customFormat="1" ht="37.5">
      <c r="A130" s="16" t="s">
        <v>107</v>
      </c>
      <c r="B130" s="73">
        <v>300</v>
      </c>
      <c r="C130" s="53">
        <v>400</v>
      </c>
      <c r="D130" s="76"/>
      <c r="E130" s="17">
        <f>D130/D107*100</f>
        <v>0</v>
      </c>
      <c r="F130" s="125">
        <f t="shared" si="15"/>
        <v>0</v>
      </c>
      <c r="G130" s="6">
        <f t="shared" si="12"/>
        <v>0</v>
      </c>
      <c r="H130" s="61">
        <f t="shared" si="16"/>
        <v>300</v>
      </c>
      <c r="I130" s="61">
        <f t="shared" si="14"/>
        <v>400</v>
      </c>
    </row>
    <row r="131" spans="1:9" s="32" customFormat="1" ht="18" hidden="1">
      <c r="A131" s="33" t="s">
        <v>47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58</v>
      </c>
      <c r="B132" s="73">
        <v>62.8</v>
      </c>
      <c r="C132" s="53">
        <v>64.1</v>
      </c>
      <c r="D132" s="76">
        <f>0.8+2.3+1.8+1+14.8+2.3+0.1+3.7</f>
        <v>26.8</v>
      </c>
      <c r="E132" s="17">
        <f>D132/D107*100</f>
        <v>0.005092354988066218</v>
      </c>
      <c r="F132" s="6">
        <f t="shared" si="15"/>
        <v>42.675159235668794</v>
      </c>
      <c r="G132" s="6">
        <f t="shared" si="12"/>
        <v>41.80967238689548</v>
      </c>
      <c r="H132" s="61">
        <f t="shared" si="16"/>
        <v>36</v>
      </c>
      <c r="I132" s="61">
        <f t="shared" si="14"/>
        <v>37.3</v>
      </c>
    </row>
    <row r="133" spans="1:9" s="2" customFormat="1" ht="35.25" customHeight="1" hidden="1">
      <c r="A133" s="16" t="s">
        <v>59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97</v>
      </c>
      <c r="B134" s="73">
        <v>20</v>
      </c>
      <c r="C134" s="53">
        <f>600-500</f>
        <v>100</v>
      </c>
      <c r="D134" s="76">
        <f>0.8+5+0.9+2.6-0.1+0.6+0.1+0.6+1.7+4.6</f>
        <v>16.799999999999997</v>
      </c>
      <c r="E134" s="17">
        <f>D134/D107*100</f>
        <v>0.003192222529832554</v>
      </c>
      <c r="F134" s="6">
        <f t="shared" si="15"/>
        <v>83.99999999999999</v>
      </c>
      <c r="G134" s="6">
        <f t="shared" si="12"/>
        <v>16.799999999999997</v>
      </c>
      <c r="H134" s="61">
        <f t="shared" si="16"/>
        <v>3.200000000000003</v>
      </c>
      <c r="I134" s="61">
        <f t="shared" si="14"/>
        <v>83.2</v>
      </c>
    </row>
    <row r="135" spans="1:9" s="2" customFormat="1" ht="35.25" customHeight="1" hidden="1">
      <c r="A135" s="16" t="s">
        <v>98</v>
      </c>
      <c r="B135" s="73"/>
      <c r="C135" s="53"/>
      <c r="D135" s="76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1">
        <f t="shared" si="16"/>
        <v>0</v>
      </c>
      <c r="I135" s="61">
        <f t="shared" si="14"/>
        <v>0</v>
      </c>
    </row>
    <row r="136" spans="1:9" s="2" customFormat="1" ht="37.5">
      <c r="A136" s="16" t="s">
        <v>90</v>
      </c>
      <c r="B136" s="73">
        <v>320.7</v>
      </c>
      <c r="C136" s="53">
        <v>363.7</v>
      </c>
      <c r="D136" s="76">
        <f>5.2+0.3+2.7+0.1+0.5+0.2+13.8+39.2+5+5.9+2+6.5+0.1+32.4+5+3.9+0.2+0.7+8.4+0.1+0.1+3+4.4+0.1+5.5+21.4+0.1+4.5+0.6+5.7+0.4+24.5+1.5+1.7+1.6+1.3+1.6+9.9</f>
        <v>220.1</v>
      </c>
      <c r="E136" s="17">
        <f>D136/D107*100</f>
        <v>0.04182191540572293</v>
      </c>
      <c r="F136" s="6">
        <f t="shared" si="15"/>
        <v>68.63111942625507</v>
      </c>
      <c r="G136" s="6">
        <f>D136/C136*100</f>
        <v>60.516909540830355</v>
      </c>
      <c r="H136" s="61">
        <f t="shared" si="16"/>
        <v>100.6</v>
      </c>
      <c r="I136" s="61">
        <f t="shared" si="14"/>
        <v>143.6</v>
      </c>
    </row>
    <row r="137" spans="1:9" s="32" customFormat="1" ht="18">
      <c r="A137" s="23" t="s">
        <v>27</v>
      </c>
      <c r="B137" s="74">
        <v>224.4</v>
      </c>
      <c r="C137" s="44">
        <f>218.8+36.5</f>
        <v>255.3</v>
      </c>
      <c r="D137" s="75">
        <f>0.3+39.3+0.2+2+32.4+0.2-0.1+5.4+0.1+5.5+21.4+0.1+0.1+22.6+1.7+9.9+0.6</f>
        <v>141.69999999999996</v>
      </c>
      <c r="E137" s="103">
        <f>D137/D136*100</f>
        <v>64.37982735120397</v>
      </c>
      <c r="F137" s="1">
        <f t="shared" si="15"/>
        <v>63.146167557932245</v>
      </c>
      <c r="G137" s="1">
        <f>D137/C137*100</f>
        <v>55.50332941637288</v>
      </c>
      <c r="H137" s="44">
        <f t="shared" si="16"/>
        <v>82.70000000000005</v>
      </c>
      <c r="I137" s="44">
        <f t="shared" si="14"/>
        <v>113.60000000000005</v>
      </c>
    </row>
    <row r="138" spans="1:9" s="2" customFormat="1" ht="18.75">
      <c r="A138" s="16" t="s">
        <v>26</v>
      </c>
      <c r="B138" s="73">
        <v>1159.6</v>
      </c>
      <c r="C138" s="53">
        <f>1160.2+12+85</f>
        <v>1257.2</v>
      </c>
      <c r="D138" s="76">
        <f>26.5+42.3+30.1+3.6+8.6+42.3+0.1+5.7+31.9+5.2+42.5+11.7+55+45.4+28.3+17.8+9.6+33.4+0.9+26.8+46.9+38.1-0.1+30.6+29.1+43.2+28.9+29.5+0.1+43.5+140.8+0.1+38.4+46.8+37.3+6.7</f>
        <v>1027.6</v>
      </c>
      <c r="E138" s="17">
        <f>D138/D107*100</f>
        <v>0.1952576114080912</v>
      </c>
      <c r="F138" s="6">
        <f t="shared" si="15"/>
        <v>88.61676440151777</v>
      </c>
      <c r="G138" s="6">
        <f t="shared" si="12"/>
        <v>81.73719376391982</v>
      </c>
      <c r="H138" s="61">
        <f t="shared" si="16"/>
        <v>132</v>
      </c>
      <c r="I138" s="61">
        <f t="shared" si="14"/>
        <v>229.60000000000014</v>
      </c>
    </row>
    <row r="139" spans="1:9" s="32" customFormat="1" ht="18">
      <c r="A139" s="33" t="s">
        <v>47</v>
      </c>
      <c r="B139" s="74">
        <v>813</v>
      </c>
      <c r="C139" s="44">
        <v>886.2</v>
      </c>
      <c r="D139" s="75">
        <f>26.5+39.8+30.1+42.1+0.1+31.9+40.5+11.2+38.1+30.1+28.3+17.4+33.4+8.9+24.2+37.9+28.8+43.2+29.4+43.5-0.1+36.5+38.4+39.2+36.7-0.1</f>
        <v>736</v>
      </c>
      <c r="E139" s="1">
        <f>D139/D138*100</f>
        <v>71.62319968859478</v>
      </c>
      <c r="F139" s="1">
        <f aca="true" t="shared" si="17" ref="F139:F147">D139/B139*100</f>
        <v>90.52890528905289</v>
      </c>
      <c r="G139" s="1">
        <f t="shared" si="12"/>
        <v>83.05122997066124</v>
      </c>
      <c r="H139" s="44">
        <f t="shared" si="16"/>
        <v>77</v>
      </c>
      <c r="I139" s="44">
        <f t="shared" si="14"/>
        <v>150.20000000000005</v>
      </c>
    </row>
    <row r="140" spans="1:9" s="32" customFormat="1" ht="18">
      <c r="A140" s="23" t="s">
        <v>27</v>
      </c>
      <c r="B140" s="74">
        <v>30</v>
      </c>
      <c r="C140" s="44">
        <v>39.3</v>
      </c>
      <c r="D140" s="75">
        <f>8.6+0.2+0.3+5.1+0.4+5.3+0.3+0.3+0.2+0.3+0.3+0.3</f>
        <v>21.6</v>
      </c>
      <c r="E140" s="1">
        <f>D140/D138*100</f>
        <v>2.1019852082522386</v>
      </c>
      <c r="F140" s="1">
        <f t="shared" si="17"/>
        <v>72.00000000000001</v>
      </c>
      <c r="G140" s="1">
        <f>D140/C140*100</f>
        <v>54.961832061068705</v>
      </c>
      <c r="H140" s="44">
        <f t="shared" si="16"/>
        <v>8.399999999999999</v>
      </c>
      <c r="I140" s="44">
        <f t="shared" si="14"/>
        <v>17.699999999999996</v>
      </c>
    </row>
    <row r="141" spans="1:9" s="2" customFormat="1" ht="56.25">
      <c r="A141" s="18" t="s">
        <v>95</v>
      </c>
      <c r="B141" s="73">
        <v>499.1</v>
      </c>
      <c r="C141" s="53">
        <f>345+154.1+25</f>
        <v>524.1</v>
      </c>
      <c r="D141" s="76">
        <f>345</f>
        <v>345</v>
      </c>
      <c r="E141" s="17">
        <f>D141/D107*100</f>
        <v>0.06555456980906138</v>
      </c>
      <c r="F141" s="99">
        <f t="shared" si="17"/>
        <v>69.12442396313364</v>
      </c>
      <c r="G141" s="6">
        <f t="shared" si="12"/>
        <v>65.8271322266743</v>
      </c>
      <c r="H141" s="61">
        <f t="shared" si="16"/>
        <v>154.10000000000002</v>
      </c>
      <c r="I141" s="61">
        <f t="shared" si="14"/>
        <v>179.10000000000002</v>
      </c>
    </row>
    <row r="142" spans="1:9" s="2" customFormat="1" ht="18.75">
      <c r="A142" s="18" t="s">
        <v>108</v>
      </c>
      <c r="B142" s="73">
        <v>3220</v>
      </c>
      <c r="C142" s="53">
        <f>2620+600</f>
        <v>3220</v>
      </c>
      <c r="D142" s="76"/>
      <c r="E142" s="17">
        <f>D142/D107*100</f>
        <v>0</v>
      </c>
      <c r="F142" s="99">
        <f>D142/B142*100</f>
        <v>0</v>
      </c>
      <c r="G142" s="6">
        <f t="shared" si="12"/>
        <v>0</v>
      </c>
      <c r="H142" s="61">
        <f t="shared" si="16"/>
        <v>3220</v>
      </c>
      <c r="I142" s="61">
        <f t="shared" si="14"/>
        <v>3220</v>
      </c>
    </row>
    <row r="143" spans="1:9" s="2" customFormat="1" ht="18.75">
      <c r="A143" s="18" t="s">
        <v>92</v>
      </c>
      <c r="B143" s="73">
        <f>39981.9+8.4</f>
        <v>39990.3</v>
      </c>
      <c r="C143" s="53">
        <f>16744+15000+2000-2607.4+8610.1+1327.3+3638</f>
        <v>44712</v>
      </c>
      <c r="D143" s="76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+631.6+1290.4+174.7+188.9+1164.7+122.1+3.8+42+994.1+165.7+363.3+1.9+102.1+983.3+775.9+141.6+225+107.6+409+115.9</f>
        <v>32841.399999999994</v>
      </c>
      <c r="E143" s="17">
        <f>D143/D107*100</f>
        <v>6.240301011383501</v>
      </c>
      <c r="F143" s="99">
        <f t="shared" si="17"/>
        <v>82.12341492812006</v>
      </c>
      <c r="G143" s="6">
        <f t="shared" si="12"/>
        <v>73.45097512971907</v>
      </c>
      <c r="H143" s="61">
        <f t="shared" si="16"/>
        <v>7148.900000000009</v>
      </c>
      <c r="I143" s="61">
        <f t="shared" si="14"/>
        <v>11870.600000000006</v>
      </c>
    </row>
    <row r="144" spans="1:9" s="2" customFormat="1" ht="18.75" hidden="1">
      <c r="A144" s="18" t="s">
        <v>93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96</v>
      </c>
      <c r="B145" s="73">
        <v>2247.6</v>
      </c>
      <c r="C145" s="53">
        <f>6504.8-4188</f>
        <v>2316.8</v>
      </c>
      <c r="D145" s="76">
        <f>2094+16</f>
        <v>2110</v>
      </c>
      <c r="E145" s="17">
        <f>D145/D107*100</f>
        <v>0.4009279486873029</v>
      </c>
      <c r="F145" s="99">
        <f t="shared" si="17"/>
        <v>93.87791421961204</v>
      </c>
      <c r="G145" s="6">
        <f t="shared" si="12"/>
        <v>91.0738950276243</v>
      </c>
      <c r="H145" s="61">
        <f t="shared" si="16"/>
        <v>137.5999999999999</v>
      </c>
      <c r="I145" s="61">
        <f t="shared" si="14"/>
        <v>206.80000000000018</v>
      </c>
    </row>
    <row r="146" spans="1:12" s="2" customFormat="1" ht="18.75" customHeight="1">
      <c r="A146" s="16" t="s">
        <v>83</v>
      </c>
      <c r="B146" s="73">
        <v>602.7</v>
      </c>
      <c r="C146" s="53">
        <v>602.7</v>
      </c>
      <c r="D146" s="76">
        <f>568.7+16.6-0.1+15.4+2.1</f>
        <v>602.7</v>
      </c>
      <c r="E146" s="17">
        <f>D146/D107*100</f>
        <v>0.11452098325774288</v>
      </c>
      <c r="F146" s="99">
        <f t="shared" si="17"/>
        <v>100</v>
      </c>
      <c r="G146" s="6">
        <f t="shared" si="12"/>
        <v>100</v>
      </c>
      <c r="H146" s="61">
        <f t="shared" si="16"/>
        <v>0</v>
      </c>
      <c r="I146" s="61">
        <f t="shared" si="14"/>
        <v>0</v>
      </c>
      <c r="K146" s="38"/>
      <c r="L146" s="38"/>
    </row>
    <row r="147" spans="1:12" s="2" customFormat="1" ht="19.5" customHeight="1">
      <c r="A147" s="16" t="s">
        <v>54</v>
      </c>
      <c r="B147" s="73">
        <f>445905.1+1534</f>
        <v>447439.1</v>
      </c>
      <c r="C147" s="53">
        <f>473452.9-2494.7-2700.6</f>
        <v>468257.60000000003</v>
      </c>
      <c r="D147" s="76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+5454.6+10494.7+53.8+2794.1+1700.9+572.4+2892.4+54.6+5385.4+25.8+802.6+6.5+493+41.9+2382.3+3709.2+3849.8+621.1+1427.4+1944.2+2446+1308.3+4405.5+9588.9+55.3+7536.4+1072.6+878.9+1120.6+1731.2+4157+155.9+1484.9+7590.8+2684.6+1175.2+1850.4+3473.8+8.6+1701.7+2648.5+7402.6+12096+8228.4+4743.5+940.3+204.9</f>
        <v>436336.8000000001</v>
      </c>
      <c r="E147" s="17">
        <f>D147/D107*100</f>
        <v>82.90977164018103</v>
      </c>
      <c r="F147" s="6">
        <f t="shared" si="17"/>
        <v>97.5187014277474</v>
      </c>
      <c r="G147" s="6">
        <f t="shared" si="12"/>
        <v>93.18306846487917</v>
      </c>
      <c r="H147" s="61">
        <f t="shared" si="16"/>
        <v>11102.299999999872</v>
      </c>
      <c r="I147" s="61">
        <f t="shared" si="14"/>
        <v>31920.79999999993</v>
      </c>
      <c r="K147" s="91"/>
      <c r="L147" s="38"/>
    </row>
    <row r="148" spans="1:12" s="2" customFormat="1" ht="18.75">
      <c r="A148" s="16" t="s">
        <v>94</v>
      </c>
      <c r="B148" s="73">
        <v>26584.8</v>
      </c>
      <c r="C148" s="53">
        <v>29001.6</v>
      </c>
      <c r="D148" s="76">
        <f>805.6+805.6+805.6+805.6+805.6+805.6+805.6+805.6+805.6+805.6+805.6+805.6+805.6+805.6+805.6+805.6+805.6+805.6+805.6+805.6+805.6+805.6+805.6+805.6+805.6+805.6+805.6+805.6+805.6+805.6</f>
        <v>24167.999999999993</v>
      </c>
      <c r="E148" s="17">
        <f>D148/D107*100</f>
        <v>4.592240125059115</v>
      </c>
      <c r="F148" s="6">
        <f t="shared" si="15"/>
        <v>90.90909090909088</v>
      </c>
      <c r="G148" s="6">
        <f t="shared" si="12"/>
        <v>83.33333333333331</v>
      </c>
      <c r="H148" s="61">
        <f t="shared" si="16"/>
        <v>2416.8000000000065</v>
      </c>
      <c r="I148" s="61">
        <f t="shared" si="14"/>
        <v>4833.600000000006</v>
      </c>
      <c r="K148" s="38"/>
      <c r="L148" s="38"/>
    </row>
    <row r="149" spans="1:12" s="2" customFormat="1" ht="19.5" thickBot="1">
      <c r="A149" s="34" t="s">
        <v>31</v>
      </c>
      <c r="B149" s="77">
        <f>B43+B69+B72+B77+B79+B87+B102+B107+B100+B84+B98</f>
        <v>568612.5000000001</v>
      </c>
      <c r="C149" s="77">
        <f>C43+C69+C72+C77+C79+C87+C102+C107+C100+C84+C98</f>
        <v>602358.3</v>
      </c>
      <c r="D149" s="53">
        <f>D43+D69+D72+D77+D79+D87+D102+D107+D100+D84+D98</f>
        <v>533855.3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1416911</v>
      </c>
      <c r="C150" s="47">
        <f>C6+C18+C33+C43+C51+C59+C69+C72+C77+C79+C87+C90+C95+C102+C107+C100+C84+C98+C45</f>
        <v>1534350.6</v>
      </c>
      <c r="D150" s="47">
        <f>D6+D18+D33+D43+D51+D59+D69+D72+D77+D79+D87+D90+D95+D102+D107+D100+D84+D98+D45</f>
        <v>1243408.2000000002</v>
      </c>
      <c r="E150" s="31">
        <v>100</v>
      </c>
      <c r="F150" s="3">
        <f>D150/B150*100</f>
        <v>87.75485545669419</v>
      </c>
      <c r="G150" s="3">
        <f aca="true" t="shared" si="18" ref="G150:G156">D150/C150*100</f>
        <v>81.03807565233136</v>
      </c>
      <c r="H150" s="47">
        <f aca="true" t="shared" si="19" ref="H150:H156">B150-D150</f>
        <v>173502.7999999998</v>
      </c>
      <c r="I150" s="47">
        <f aca="true" t="shared" si="20" ref="I150:I156">C150-D150</f>
        <v>290942.3999999999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555236.9999999999</v>
      </c>
      <c r="C151" s="60">
        <f>C8+C20+C34+C52+C60+C91+C115+C119+C46+C139+C131+C103</f>
        <v>608055.8999999997</v>
      </c>
      <c r="D151" s="60">
        <f>D8+D20+D34+D52+D60+D91+D115+D119+D46+D139+D131+D103</f>
        <v>499383.1999999999</v>
      </c>
      <c r="E151" s="6">
        <f>D151/D150*100</f>
        <v>40.1624502717611</v>
      </c>
      <c r="F151" s="6">
        <f aca="true" t="shared" si="21" ref="F151:F156">D151/B151*100</f>
        <v>89.9405479101717</v>
      </c>
      <c r="G151" s="6">
        <f t="shared" si="18"/>
        <v>82.1278438380419</v>
      </c>
      <c r="H151" s="61">
        <f t="shared" si="19"/>
        <v>55853.79999999999</v>
      </c>
      <c r="I151" s="72">
        <f t="shared" si="20"/>
        <v>108672.69999999978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104068.00000000001</v>
      </c>
      <c r="C152" s="61">
        <f>C11+C23+C36+C55+C62+C92+C49+C140+C109+C112+C96+C137</f>
        <v>122265.20000000001</v>
      </c>
      <c r="D152" s="61">
        <f>D11+D23+D36+D55+D62+D92+D49+D140+D109+D112+D96+D137</f>
        <v>59560.099999999984</v>
      </c>
      <c r="E152" s="6">
        <f>D152/D150*100</f>
        <v>4.790068136915935</v>
      </c>
      <c r="F152" s="6">
        <f t="shared" si="21"/>
        <v>57.231906061421356</v>
      </c>
      <c r="G152" s="6">
        <f t="shared" si="18"/>
        <v>48.71386134402919</v>
      </c>
      <c r="H152" s="61">
        <f t="shared" si="19"/>
        <v>44507.90000000003</v>
      </c>
      <c r="I152" s="72">
        <f t="shared" si="20"/>
        <v>62705.10000000003</v>
      </c>
      <c r="K152" s="39"/>
      <c r="L152" s="90"/>
    </row>
    <row r="153" spans="1:12" ht="18.75">
      <c r="A153" s="18" t="s">
        <v>1</v>
      </c>
      <c r="B153" s="60">
        <f>B22+B10+B54+B48+B61+B35+B123</f>
        <v>34408.40000000001</v>
      </c>
      <c r="C153" s="60">
        <f>C22+C10+C54+C48+C61+C35+C123</f>
        <v>36869.8</v>
      </c>
      <c r="D153" s="60">
        <f>D22+D10+D54+D48+D61+D35+D123</f>
        <v>25455.20000000001</v>
      </c>
      <c r="E153" s="6">
        <f>D153/D150*100</f>
        <v>2.047211848852212</v>
      </c>
      <c r="F153" s="6">
        <f t="shared" si="21"/>
        <v>73.97960963020658</v>
      </c>
      <c r="G153" s="6">
        <f t="shared" si="18"/>
        <v>69.04078676857485</v>
      </c>
      <c r="H153" s="61">
        <f t="shared" si="19"/>
        <v>8953.199999999997</v>
      </c>
      <c r="I153" s="72">
        <f t="shared" si="20"/>
        <v>11414.599999999991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26492.2</v>
      </c>
      <c r="C154" s="60">
        <f>C12+C24+C104+C63+C38+C93+C129+C56</f>
        <v>29011.600000000002</v>
      </c>
      <c r="D154" s="60">
        <f>D12+D24+D104+D63+D38+D93+D129+D56</f>
        <v>19818.400000000005</v>
      </c>
      <c r="E154" s="6">
        <f>D154/D150*100</f>
        <v>1.5938772158652323</v>
      </c>
      <c r="F154" s="6">
        <f t="shared" si="21"/>
        <v>74.80843418062678</v>
      </c>
      <c r="G154" s="6">
        <f t="shared" si="18"/>
        <v>68.31198555060736</v>
      </c>
      <c r="H154" s="61">
        <f t="shared" si="19"/>
        <v>6673.799999999996</v>
      </c>
      <c r="I154" s="72">
        <f t="shared" si="20"/>
        <v>9193.199999999997</v>
      </c>
      <c r="K154" s="39"/>
      <c r="L154" s="90"/>
    </row>
    <row r="155" spans="1:12" ht="18.75">
      <c r="A155" s="18" t="s">
        <v>2</v>
      </c>
      <c r="B155" s="60">
        <f>B9+B21+B47+B53+B122</f>
        <v>21409.5</v>
      </c>
      <c r="C155" s="60">
        <f>C9+C21+C47+C53+C122</f>
        <v>22329.699999999997</v>
      </c>
      <c r="D155" s="60">
        <f>D9+D21+D47+D53+D122</f>
        <v>17629.899999999994</v>
      </c>
      <c r="E155" s="6">
        <f>D155/D150*100</f>
        <v>1.4178690473490516</v>
      </c>
      <c r="F155" s="6">
        <f t="shared" si="21"/>
        <v>82.34615474438914</v>
      </c>
      <c r="G155" s="6">
        <f t="shared" si="18"/>
        <v>78.95269528923362</v>
      </c>
      <c r="H155" s="61">
        <f t="shared" si="19"/>
        <v>3779.600000000006</v>
      </c>
      <c r="I155" s="72">
        <f t="shared" si="20"/>
        <v>4699.800000000003</v>
      </c>
      <c r="K155" s="39"/>
      <c r="L155" s="40"/>
    </row>
    <row r="156" spans="1:12" ht="19.5" thickBot="1">
      <c r="A156" s="126" t="s">
        <v>29</v>
      </c>
      <c r="B156" s="78">
        <f>B150-B151-B152-B153-B154-B155</f>
        <v>675295.9000000001</v>
      </c>
      <c r="C156" s="78">
        <f>C150-C151-C152-C153-C154-C155</f>
        <v>715818.4000000005</v>
      </c>
      <c r="D156" s="78">
        <f>D150-D151-D152-D153-D154-D155</f>
        <v>621561.4000000001</v>
      </c>
      <c r="E156" s="36">
        <f>D156/D150*100</f>
        <v>49.98852347925645</v>
      </c>
      <c r="F156" s="36">
        <f t="shared" si="21"/>
        <v>92.0428215246087</v>
      </c>
      <c r="G156" s="36">
        <f t="shared" si="18"/>
        <v>86.83227477807216</v>
      </c>
      <c r="H156" s="127">
        <f t="shared" si="19"/>
        <v>53734.5</v>
      </c>
      <c r="I156" s="127">
        <f t="shared" si="20"/>
        <v>94257.00000000035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68" right="0.16" top="0.2" bottom="0.19" header="0.17" footer="0.18"/>
  <pageSetup horizontalDpi="600" verticalDpi="600" orientation="portrait" paperSize="9" scale="3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1534350.6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1243408.2000000002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1534350.6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1243408.2000000002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2016-10-31T14:23:11Z</cp:lastPrinted>
  <dcterms:created xsi:type="dcterms:W3CDTF">2000-06-20T04:48:00Z</dcterms:created>
  <dcterms:modified xsi:type="dcterms:W3CDTF">2016-11-07T06:09:16Z</dcterms:modified>
  <cp:category/>
  <cp:version/>
  <cp:contentType/>
  <cp:contentStatus/>
</cp:coreProperties>
</file>